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45" windowHeight="6585" activeTab="0"/>
  </bookViews>
  <sheets>
    <sheet name="Arrear_78.2" sheetId="1" r:id="rId1"/>
    <sheet name="Manual Data" sheetId="2" r:id="rId2"/>
    <sheet name="DATA" sheetId="3" state="veryHidden" r:id="rId3"/>
  </sheets>
  <definedNames>
    <definedName name="BP">IF('Arrear_78.2'!IL1+IF('Manual Data'!IJ1='Arrear_78.2'!$E$4,'Manual Data'!IV65536+'Manual Data'!IV1,'Manual Data'!IV65536)&gt;'Manual Data'!D1,LOOKUP('Arrear_78.2'!IL1+IF('Manual Data'!IJ1='Arrear_78.2'!$E$4,'Manual Data'!IV65536+'Manual Data'!IV1,'Manual Data'!IV65536),'Manual Data'!D1:S1)+'Manual Data'!IV1,'Manual Data'!D1)</definedName>
    <definedName name="BUN1">ROUNDDOWN(((('Arrear_78.2'!$E$3-OBPL1)/INC1)/2),0)</definedName>
    <definedName name="BUNF1">IF(BUN1=0,0,INDEX('Arrear_78.2'!$AQ$9:$AR$34,MATCH(BUN1,'Arrear_78.2'!$AQ$9:$AQ$34,0),2))</definedName>
    <definedName name="CB">INDEX('Arrear_78.2'!$AH$9:'Arrear_78.2'!$AT$19,MATCH('Manual Data'!$M1+OI,'Arrear_78.2'!$AQ$9:'Arrear_78.2'!$AQ$19,0),13)</definedName>
    <definedName name="CON1">'DATA'!$B$13:$G$13</definedName>
    <definedName name="HPS" localSheetId="0">'Arrear_78.2'!$AF$1</definedName>
    <definedName name="INC1">INDEX('Arrear_78.2'!$AH$9:$AP$19,MATCH('Arrear_78.2'!$E$2,'Arrear_78.2'!$AH$9:$AH$19,0),6)</definedName>
    <definedName name="INCN">INDEX('Arrear_78.2'!$AH$9:'Arrear_78.2'!$AQ$19,MATCH('Manual Data'!$M1+OI,'Arrear_78.2'!$AQ$9:'Arrear_78.2'!$AQ$19,0),6)</definedName>
    <definedName name="NBPH1">INDEX('Arrear_78.2'!$AH$9:$AP$19,MATCH('Arrear_78.2'!$E$2,'Arrear_78.2'!$AH$9:$AH$19,0),9)</definedName>
    <definedName name="NBPL1">INDEX('Arrear_78.2'!$AH$9:$AP$19,MATCH('Arrear_78.2'!$E$2,'Arrear_78.2'!$AH$9:$AH$19,0),8)</definedName>
    <definedName name="OBPH1">INDEX('Arrear_78.2'!$AH$9:$AP$19,MATCH('Arrear_78.2'!$E$2,'Arrear_78.2'!$AH$9:$AH$19,0),5)</definedName>
    <definedName name="OBPL1">INDEX('Arrear_78.2'!$AH$9:$AP$19,MATCH('Arrear_78.2'!$E$2,'Arrear_78.2'!$AH$9:$AH$19,0),4)</definedName>
    <definedName name="OI">INDEX('Arrear_78.2'!$AH$9:'Arrear_78.2'!$AQ$19,MATCH('Arrear_78.2'!$G$2,'Arrear_78.2'!$AI$9:'Arrear_78.2'!$AI$19,0),10)</definedName>
    <definedName name="_xlnm.Print_Area" localSheetId="0">'Arrear_78.2'!$A$1:$X$101</definedName>
    <definedName name="RR1">'DATA'!$B$1:$X$1</definedName>
    <definedName name="RR10">'DATA'!$B$9:$M$9</definedName>
    <definedName name="RR11">'DATA'!$B$10:$M$10</definedName>
    <definedName name="RR12">'DATA'!$B$11:$J$11</definedName>
    <definedName name="RR2">'DATA'!$B$2:$W$2</definedName>
    <definedName name="RR3">'DATA'!$B$3:$T$3</definedName>
    <definedName name="RR4">'DATA'!$B$4:$Q$4</definedName>
    <definedName name="RR5">'DATA'!$B$5:$Q$5</definedName>
    <definedName name="RR6">'DATA'!$B$6:$Q$6</definedName>
    <definedName name="RR7">'DATA'!$B$7:$Q$7</definedName>
    <definedName name="RR9">'DATA'!$B$8:$M$8</definedName>
    <definedName name="UPIN">IF('Manual Data'!IV1&gt;0,INDEX('Arrear_78.2'!$AH$9:'Arrear_78.2'!$AQ$19,MATCH('Manual Data'!$M1+OI,'Arrear_78.2'!$AQ$9:'Arrear_78.2'!$AQ$19,0),6),0)</definedName>
    <definedName name="Z_7126EEA4_EFC8_4FCF_A317_0CE38099B7F5_.wvu.Cols" localSheetId="0" hidden="1">'Arrear_78.2'!$AH:$AS</definedName>
  </definedNames>
  <calcPr fullCalcOnLoad="1"/>
</workbook>
</file>

<file path=xl/comments1.xml><?xml version="1.0" encoding="utf-8"?>
<comments xmlns="http://schemas.openxmlformats.org/spreadsheetml/2006/main">
  <authors>
    <author>xyz</author>
    <author>MKM</author>
  </authors>
  <commentList>
    <comment ref="E1" authorId="0">
      <text>
        <r>
          <rPr>
            <b/>
            <sz val="8"/>
            <rFont val="Tahoma"/>
            <family val="2"/>
          </rPr>
          <t>Before Start</t>
        </r>
        <r>
          <rPr>
            <sz val="8"/>
            <rFont val="Tahoma"/>
            <family val="2"/>
          </rPr>
          <t xml:space="preserve"> pl. ensure that every data on 'Manual Data' Sheet is ONE(1).
</t>
        </r>
        <r>
          <rPr>
            <b/>
            <sz val="8"/>
            <rFont val="Tahoma"/>
            <family val="2"/>
          </rPr>
          <t>How to calculate:-</t>
        </r>
        <r>
          <rPr>
            <sz val="8"/>
            <rFont val="Tahoma"/>
            <family val="2"/>
          </rPr>
          <t xml:space="preserve"> 
</t>
        </r>
        <r>
          <rPr>
            <b/>
            <sz val="8"/>
            <rFont val="Tahoma"/>
            <family val="2"/>
          </rPr>
          <t>A.</t>
        </r>
        <r>
          <rPr>
            <sz val="8"/>
            <rFont val="Tahoma"/>
            <family val="2"/>
          </rPr>
          <t xml:space="preserve"> Just select through drop down list of yello cells in sheet '</t>
        </r>
        <r>
          <rPr>
            <b/>
            <sz val="8"/>
            <rFont val="Tahoma"/>
            <family val="2"/>
          </rPr>
          <t>Arrear_78.2</t>
        </r>
        <r>
          <rPr>
            <sz val="8"/>
            <rFont val="Tahoma"/>
            <family val="2"/>
          </rPr>
          <t xml:space="preserve">'.
</t>
        </r>
        <r>
          <rPr>
            <b/>
            <sz val="8"/>
            <rFont val="Tahoma"/>
            <family val="2"/>
          </rPr>
          <t>B.</t>
        </r>
        <r>
          <rPr>
            <sz val="8"/>
            <rFont val="Tahoma"/>
            <family val="2"/>
          </rPr>
          <t xml:space="preserve"> Enter 'Y' in respective month(Implimenting) of the promotion in 'C' column of </t>
        </r>
        <r>
          <rPr>
            <b/>
            <sz val="8"/>
            <rFont val="Tahoma"/>
            <family val="2"/>
          </rPr>
          <t>'Manual Data'</t>
        </r>
        <r>
          <rPr>
            <sz val="8"/>
            <rFont val="Tahoma"/>
            <family val="2"/>
          </rPr>
          <t xml:space="preserve"> Sheet for any Promotion / IDA Upgradation during the period. In some extra ordinary case the value of Drawn/Due Basic pay can also be modified via Column 'C'. Data entered in a month will automatically apply to next months of Main Sheet. HRA/TA can also be modified via</t>
        </r>
        <r>
          <rPr>
            <b/>
            <sz val="8"/>
            <rFont val="Tahoma"/>
            <family val="2"/>
          </rPr>
          <t xml:space="preserve"> 'Manual Data' </t>
        </r>
        <r>
          <rPr>
            <sz val="8"/>
            <rFont val="Tahoma"/>
            <family val="2"/>
          </rPr>
          <t>sheet.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Simple Way to Findout New Basic: Multiply present Basic with 1.05586 and round it up to 10th</t>
        </r>
      </text>
    </comment>
    <comment ref="A5" authorId="0">
      <text>
        <r>
          <rPr>
            <sz val="8"/>
            <rFont val="Tahoma"/>
            <family val="2"/>
          </rPr>
          <t>If you have a Residencial Quarter select 'Yes'</t>
        </r>
      </text>
    </comment>
    <comment ref="P41" authorId="0">
      <text>
        <r>
          <rPr>
            <sz val="8"/>
            <rFont val="Tahoma"/>
            <family val="2"/>
          </rPr>
          <t xml:space="preserve">Enter I/Tax here Manually. </t>
        </r>
        <r>
          <rPr>
            <sz val="8"/>
            <rFont val="Tahoma"/>
            <family val="2"/>
          </rPr>
          <t xml:space="preserve">
If value in this field is greater than '0', tax calc in % will be disabled.</t>
        </r>
      </text>
    </comment>
    <comment ref="R41" authorId="0">
      <text>
        <r>
          <rPr>
            <sz val="8"/>
            <rFont val="Tahoma"/>
            <family val="2"/>
          </rPr>
          <t>Enter 10,20 or 30 here for Tax calc in %, manual field should be '0'</t>
        </r>
      </text>
    </comment>
    <comment ref="E2" authorId="1">
      <text>
        <r>
          <rPr>
            <b/>
            <sz val="12"/>
            <rFont val="Tahoma"/>
            <family val="2"/>
          </rPr>
          <t>Always download Fresh Calculator from the web.</t>
        </r>
      </text>
    </comment>
  </commentList>
</comments>
</file>

<file path=xl/sharedStrings.xml><?xml version="1.0" encoding="utf-8"?>
<sst xmlns="http://schemas.openxmlformats.org/spreadsheetml/2006/main" count="517" uniqueCount="137">
  <si>
    <t>Present Scale</t>
  </si>
  <si>
    <t>Oct</t>
  </si>
  <si>
    <t>HRA</t>
  </si>
  <si>
    <t>DRAWN</t>
  </si>
  <si>
    <t>DUE</t>
  </si>
  <si>
    <t>MONTH</t>
  </si>
  <si>
    <t>Yr</t>
  </si>
  <si>
    <t>DA</t>
  </si>
  <si>
    <t>TA</t>
  </si>
  <si>
    <t>PA</t>
  </si>
  <si>
    <t>DIFF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</si>
  <si>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</si>
  <si>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</si>
  <si>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</si>
  <si>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</si>
  <si>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</si>
  <si>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</si>
  <si>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</si>
  <si>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</si>
  <si>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</si>
  <si>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</si>
  <si>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</si>
  <si>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07</t>
  </si>
  <si>
    <t>TOTAL</t>
  </si>
  <si>
    <t>08</t>
  </si>
  <si>
    <t>09</t>
  </si>
  <si>
    <t>DP</t>
  </si>
  <si>
    <t>CCA</t>
  </si>
  <si>
    <t>New Scale</t>
  </si>
  <si>
    <t>B.PAY</t>
  </si>
  <si>
    <t>HRA @</t>
  </si>
  <si>
    <t>HR No.</t>
  </si>
  <si>
    <t>Name of Executive</t>
  </si>
  <si>
    <t>---</t>
  </si>
  <si>
    <t>DIA</t>
  </si>
  <si>
    <t>Increment Month</t>
  </si>
  <si>
    <t>B'Pay as on 01-01-07</t>
  </si>
  <si>
    <t>Old Scale</t>
  </si>
  <si>
    <t>Residential Quarter</t>
  </si>
  <si>
    <t>B'PAY</t>
  </si>
  <si>
    <t>Salary of March, 2009 in New Scale</t>
  </si>
  <si>
    <t>Gross Arear upto Feb.09 is Rs.</t>
  </si>
  <si>
    <t>Sr.SDE/Sr.AO</t>
  </si>
  <si>
    <t>Yes</t>
  </si>
  <si>
    <t>E1A</t>
  </si>
  <si>
    <t>E2A</t>
  </si>
  <si>
    <t>E3</t>
  </si>
  <si>
    <t>E4</t>
  </si>
  <si>
    <t>E5</t>
  </si>
  <si>
    <t>E6</t>
  </si>
  <si>
    <t>E7</t>
  </si>
  <si>
    <t>E9</t>
  </si>
  <si>
    <t>E9A</t>
  </si>
  <si>
    <t>CMD</t>
  </si>
  <si>
    <t>DIR</t>
  </si>
  <si>
    <t>SDE/AO/AAO</t>
  </si>
  <si>
    <t>JTO/JAO</t>
  </si>
  <si>
    <t>DE/CAO</t>
  </si>
  <si>
    <t>JAG</t>
  </si>
  <si>
    <t>S.JAG</t>
  </si>
  <si>
    <t>JAG(SG)</t>
  </si>
  <si>
    <t>SAG</t>
  </si>
  <si>
    <t>HAG</t>
  </si>
  <si>
    <t>DIRECTOR</t>
  </si>
  <si>
    <t>9850-250-14600</t>
  </si>
  <si>
    <t>11875-300-17275</t>
  </si>
  <si>
    <t>13000-350-18250</t>
  </si>
  <si>
    <t>14500-350-18700</t>
  </si>
  <si>
    <t>16000-400-20800</t>
  </si>
  <si>
    <t>17500-400-22300</t>
  </si>
  <si>
    <t>18500-450-23900</t>
  </si>
  <si>
    <t>23750-600-28550</t>
  </si>
  <si>
    <t>25000-650-30200</t>
  </si>
  <si>
    <t>25750-650-30950</t>
  </si>
  <si>
    <t>27750-750-31500</t>
  </si>
  <si>
    <t>16,400 - 40,500*</t>
  </si>
  <si>
    <t>20,600 - 46,500*</t>
  </si>
  <si>
    <t>24,900 - 50,500</t>
  </si>
  <si>
    <t>29,100 - 54,500</t>
  </si>
  <si>
    <t>32,900 - 58,000</t>
  </si>
  <si>
    <t>36,600 - 62,000</t>
  </si>
  <si>
    <t>43,200 - 66,000</t>
  </si>
  <si>
    <t>62,000 - 80,000</t>
  </si>
  <si>
    <t>62,000 - 80,000*</t>
  </si>
  <si>
    <t>75,000 - 1,00,000</t>
  </si>
  <si>
    <t>80,000 - 1,25,000</t>
  </si>
  <si>
    <t>RR1</t>
  </si>
  <si>
    <t>RR2</t>
  </si>
  <si>
    <t>RR3</t>
  </si>
  <si>
    <t>RR4</t>
  </si>
  <si>
    <t>RR5</t>
  </si>
  <si>
    <t>RR6</t>
  </si>
  <si>
    <t>RR7</t>
  </si>
  <si>
    <t>RR9</t>
  </si>
  <si>
    <t>RR10</t>
  </si>
  <si>
    <t>RR11</t>
  </si>
  <si>
    <t>RR12</t>
  </si>
  <si>
    <t>UC</t>
  </si>
  <si>
    <t>CON1</t>
  </si>
  <si>
    <t>A</t>
  </si>
  <si>
    <t>C</t>
  </si>
  <si>
    <t>Type City / TA</t>
  </si>
  <si>
    <t>HRA Old / New</t>
  </si>
  <si>
    <t>No</t>
  </si>
  <si>
    <t>Inc.TAX</t>
  </si>
  <si>
    <t>A-1</t>
  </si>
  <si>
    <t>B-1</t>
  </si>
  <si>
    <t>B-2</t>
  </si>
  <si>
    <t>Take Home after</t>
  </si>
  <si>
    <t>I/Tax to Pay</t>
  </si>
  <si>
    <t>OR</t>
  </si>
  <si>
    <t>Arear taken</t>
  </si>
  <si>
    <t>Balance Payable</t>
  </si>
  <si>
    <t>10</t>
  </si>
  <si>
    <t>11</t>
  </si>
  <si>
    <t>12</t>
  </si>
  <si>
    <t>Promotion</t>
  </si>
  <si>
    <t>Note:-</t>
  </si>
  <si>
    <t>BP-68.8</t>
  </si>
  <si>
    <t>BP-78.2</t>
  </si>
  <si>
    <r>
      <t>Note:-</t>
    </r>
    <r>
      <rPr>
        <sz val="9"/>
        <rFont val="Arial"/>
        <family val="2"/>
      </rPr>
      <t xml:space="preserve"> This is a Test calculator &amp; actual calculations may differ. Developer don't take any responsblity of accuracy.  </t>
    </r>
  </si>
  <si>
    <t>in yellow field "1" is the Default value for normal Calculation. Change it  if there is any change in normal value.</t>
  </si>
  <si>
    <t>B.PAY_O</t>
  </si>
  <si>
    <t>in Promotion(Blue) field type "Y" for promotion or Actual Basic if there is change or leave Blank for normal.</t>
  </si>
  <si>
    <t>13</t>
  </si>
  <si>
    <t>by M.K.Morodia, Circle Secy., AIBSNLEA(Raj.) [9413395858]</t>
  </si>
  <si>
    <t>Actual Pay to be drawn in June-2013 &gt;&gt;&gt;</t>
  </si>
  <si>
    <t>Current Scale</t>
  </si>
  <si>
    <t>NEW PAY (78.2 Fitment)</t>
  </si>
  <si>
    <t>DRAWN (CDA Pay)</t>
  </si>
  <si>
    <t>DUE ( IDA with 68.8 Fitment)</t>
  </si>
  <si>
    <t>DRAWN (IDA with 68.8 Fitment)</t>
  </si>
  <si>
    <t>DUE (IDA with 78.2 Fitment)</t>
  </si>
  <si>
    <t>Note:- Default Value of every Cell is '1'</t>
  </si>
  <si>
    <t>Note:- Only DA will be paid on 78.2 fitment pay(New Basic) rest allowances will be paid on 68.8 fitment pay(Existing Basic)</t>
  </si>
  <si>
    <t>No of UPG</t>
  </si>
  <si>
    <t>DNI 
Month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</si>
</sst>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;;;"/>
    <numFmt numFmtId="175" formatCode=";;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6633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Alignment="1" applyProtection="1">
      <alignment vertical="center"/>
      <protection hidden="1"/>
    </xf>
    <xf numFmtId="175" fontId="6" fillId="0" borderId="0" xfId="0" applyNumberFormat="1" applyFont="1" applyAlignment="1">
      <alignment vertical="center"/>
    </xf>
    <xf numFmtId="175" fontId="6" fillId="0" borderId="0" xfId="0" applyNumberFormat="1" applyFont="1" applyAlignment="1">
      <alignment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 quotePrefix="1">
      <alignment vertical="center"/>
    </xf>
    <xf numFmtId="0" fontId="7" fillId="0" borderId="18" xfId="0" applyNumberFormat="1" applyFont="1" applyBorder="1" applyAlignment="1" quotePrefix="1">
      <alignment vertical="center"/>
    </xf>
    <xf numFmtId="0" fontId="7" fillId="0" borderId="17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 quotePrefix="1">
      <alignment vertical="center"/>
    </xf>
    <xf numFmtId="0" fontId="6" fillId="0" borderId="2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vertical="center"/>
    </xf>
    <xf numFmtId="0" fontId="6" fillId="0" borderId="0" xfId="0" applyNumberFormat="1" applyFont="1" applyAlignment="1" applyProtection="1">
      <alignment vertical="center"/>
      <protection/>
    </xf>
    <xf numFmtId="0" fontId="7" fillId="0" borderId="26" xfId="0" applyNumberFormat="1" applyFont="1" applyBorder="1" applyAlignment="1" quotePrefix="1">
      <alignment vertical="center"/>
    </xf>
    <xf numFmtId="0" fontId="6" fillId="0" borderId="2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vertical="center"/>
    </xf>
    <xf numFmtId="0" fontId="7" fillId="0" borderId="30" xfId="0" applyNumberFormat="1" applyFont="1" applyBorder="1" applyAlignment="1" quotePrefix="1">
      <alignment vertical="center"/>
    </xf>
    <xf numFmtId="0" fontId="6" fillId="0" borderId="13" xfId="0" applyNumberFormat="1" applyFont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6" xfId="0" applyNumberFormat="1" applyFont="1" applyFill="1" applyBorder="1" applyAlignment="1" quotePrefix="1">
      <alignment horizontal="center" vertical="center"/>
    </xf>
    <xf numFmtId="175" fontId="6" fillId="0" borderId="12" xfId="0" applyNumberFormat="1" applyFont="1" applyBorder="1" applyAlignment="1">
      <alignment vertical="center"/>
    </xf>
    <xf numFmtId="175" fontId="6" fillId="0" borderId="12" xfId="0" applyNumberFormat="1" applyFont="1" applyBorder="1" applyAlignment="1" quotePrefix="1">
      <alignment vertical="center"/>
    </xf>
    <xf numFmtId="175" fontId="7" fillId="0" borderId="12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 quotePrefix="1">
      <alignment vertical="center"/>
    </xf>
    <xf numFmtId="0" fontId="7" fillId="0" borderId="0" xfId="0" applyNumberFormat="1" applyFont="1" applyAlignment="1">
      <alignment vertical="center"/>
    </xf>
    <xf numFmtId="0" fontId="7" fillId="33" borderId="16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Alignment="1">
      <alignment horizontal="right" vertical="top"/>
    </xf>
    <xf numFmtId="0" fontId="7" fillId="0" borderId="23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 vertical="center"/>
    </xf>
    <xf numFmtId="9" fontId="6" fillId="33" borderId="16" xfId="0" applyNumberFormat="1" applyFont="1" applyFill="1" applyBorder="1" applyAlignment="1" applyProtection="1">
      <alignment vertical="center"/>
      <protection locked="0"/>
    </xf>
    <xf numFmtId="0" fontId="7" fillId="0" borderId="30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vertical="center"/>
    </xf>
    <xf numFmtId="0" fontId="7" fillId="0" borderId="33" xfId="0" applyNumberFormat="1" applyFont="1" applyBorder="1" applyAlignment="1" quotePrefix="1">
      <alignment vertical="center"/>
    </xf>
    <xf numFmtId="0" fontId="6" fillId="0" borderId="34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 quotePrefix="1">
      <alignment vertical="center"/>
    </xf>
    <xf numFmtId="0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vertical="center"/>
      <protection hidden="1"/>
    </xf>
    <xf numFmtId="9" fontId="0" fillId="33" borderId="15" xfId="0" applyNumberFormat="1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2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" fontId="0" fillId="0" borderId="22" xfId="0" applyNumberFormat="1" applyBorder="1" applyAlignment="1">
      <alignment vertical="center"/>
    </xf>
    <xf numFmtId="17" fontId="0" fillId="0" borderId="36" xfId="0" applyNumberFormat="1" applyBorder="1" applyAlignment="1" quotePrefix="1">
      <alignment vertical="center"/>
    </xf>
    <xf numFmtId="0" fontId="0" fillId="32" borderId="43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vertical="center"/>
      <protection hidden="1"/>
    </xf>
    <xf numFmtId="0" fontId="0" fillId="32" borderId="44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32" borderId="43" xfId="0" applyNumberFormat="1" applyFill="1" applyBorder="1" applyAlignment="1" applyProtection="1" quotePrefix="1">
      <alignment horizontal="center" vertical="center"/>
      <protection locked="0"/>
    </xf>
    <xf numFmtId="0" fontId="0" fillId="32" borderId="44" xfId="0" applyNumberFormat="1" applyFill="1" applyBorder="1" applyAlignment="1" applyProtection="1">
      <alignment horizontal="center" vertical="center"/>
      <protection locked="0"/>
    </xf>
    <xf numFmtId="17" fontId="0" fillId="0" borderId="29" xfId="0" applyNumberFormat="1" applyBorder="1" applyAlignment="1">
      <alignment vertical="center"/>
    </xf>
    <xf numFmtId="17" fontId="0" fillId="0" borderId="45" xfId="0" applyNumberFormat="1" applyBorder="1" applyAlignment="1" quotePrefix="1">
      <alignment vertical="center"/>
    </xf>
    <xf numFmtId="0" fontId="0" fillId="34" borderId="31" xfId="0" applyFill="1" applyBorder="1" applyAlignment="1" applyProtection="1">
      <alignment vertical="center"/>
      <protection hidden="1"/>
    </xf>
    <xf numFmtId="9" fontId="0" fillId="33" borderId="46" xfId="0" applyNumberFormat="1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2" borderId="47" xfId="0" applyNumberFormat="1" applyFill="1" applyBorder="1" applyAlignment="1" applyProtection="1">
      <alignment horizontal="center" vertical="center"/>
      <protection locked="0"/>
    </xf>
    <xf numFmtId="17" fontId="0" fillId="0" borderId="48" xfId="0" applyNumberFormat="1" applyBorder="1" applyAlignment="1" quotePrefix="1">
      <alignment vertical="center"/>
    </xf>
    <xf numFmtId="9" fontId="0" fillId="33" borderId="49" xfId="0" applyNumberForma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2" borderId="41" xfId="0" applyNumberFormat="1" applyFill="1" applyBorder="1" applyAlignment="1" applyProtection="1">
      <alignment horizontal="center" vertical="center"/>
      <protection locked="0"/>
    </xf>
    <xf numFmtId="0" fontId="0" fillId="32" borderId="51" xfId="0" applyNumberFormat="1" applyFill="1" applyBorder="1" applyAlignment="1" applyProtection="1" quotePrefix="1">
      <alignment horizontal="center"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0" fillId="3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" fontId="0" fillId="0" borderId="0" xfId="0" applyNumberFormat="1" applyFont="1" applyFill="1" applyBorder="1" applyAlignment="1">
      <alignment vertical="center"/>
    </xf>
    <xf numFmtId="0" fontId="6" fillId="0" borderId="44" xfId="0" applyNumberFormat="1" applyFont="1" applyBorder="1" applyAlignment="1">
      <alignment vertical="center"/>
    </xf>
    <xf numFmtId="0" fontId="6" fillId="0" borderId="47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vertical="top" wrapText="1"/>
    </xf>
    <xf numFmtId="17" fontId="0" fillId="35" borderId="52" xfId="0" applyNumberFormat="1" applyFill="1" applyBorder="1" applyAlignment="1">
      <alignment vertical="center"/>
    </xf>
    <xf numFmtId="0" fontId="0" fillId="32" borderId="43" xfId="0" applyNumberFormat="1" applyFont="1" applyFill="1" applyBorder="1" applyAlignment="1" applyProtection="1" quotePrefix="1">
      <alignment horizontal="center" vertical="center"/>
      <protection locked="0"/>
    </xf>
    <xf numFmtId="0" fontId="7" fillId="4" borderId="24" xfId="0" applyNumberFormat="1" applyFont="1" applyFill="1" applyBorder="1" applyAlignment="1">
      <alignment horizontal="center" vertical="center"/>
    </xf>
    <xf numFmtId="9" fontId="0" fillId="0" borderId="53" xfId="0" applyNumberForma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32" borderId="28" xfId="0" applyNumberFormat="1" applyFill="1" applyBorder="1" applyAlignment="1" applyProtection="1">
      <alignment horizontal="center" vertical="center"/>
      <protection locked="0"/>
    </xf>
    <xf numFmtId="0" fontId="7" fillId="0" borderId="54" xfId="0" applyNumberFormat="1" applyFont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 quotePrefix="1">
      <alignment vertical="center"/>
    </xf>
    <xf numFmtId="0" fontId="6" fillId="0" borderId="54" xfId="0" applyNumberFormat="1" applyFont="1" applyBorder="1" applyAlignment="1">
      <alignment vertical="center"/>
    </xf>
    <xf numFmtId="0" fontId="7" fillId="0" borderId="5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0" fillId="33" borderId="17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47" fillId="0" borderId="0" xfId="0" applyNumberFormat="1" applyFont="1" applyAlignment="1">
      <alignment/>
    </xf>
    <xf numFmtId="0" fontId="7" fillId="0" borderId="11" xfId="0" applyNumberFormat="1" applyFont="1" applyBorder="1" applyAlignment="1">
      <alignment vertical="center"/>
    </xf>
    <xf numFmtId="0" fontId="0" fillId="32" borderId="56" xfId="0" applyNumberFormat="1" applyFill="1" applyBorder="1" applyAlignment="1" applyProtection="1" quotePrefix="1">
      <alignment horizontal="center" vertical="center"/>
      <protection locked="0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9" fontId="6" fillId="4" borderId="57" xfId="57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33" borderId="31" xfId="0" applyFill="1" applyBorder="1" applyAlignment="1" applyProtection="1">
      <alignment vertical="center"/>
      <protection locked="0"/>
    </xf>
    <xf numFmtId="0" fontId="0" fillId="13" borderId="21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33" borderId="48" xfId="0" applyFont="1" applyFill="1" applyBorder="1" applyAlignment="1" applyProtection="1">
      <alignment vertical="center"/>
      <protection locked="0"/>
    </xf>
    <xf numFmtId="0" fontId="0" fillId="0" borderId="55" xfId="0" applyFill="1" applyBorder="1" applyAlignment="1">
      <alignment horizontal="center" vertical="center"/>
    </xf>
    <xf numFmtId="175" fontId="1" fillId="0" borderId="0" xfId="0" applyNumberFormat="1" applyFont="1" applyAlignment="1">
      <alignment vertic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 vertical="center"/>
    </xf>
    <xf numFmtId="175" fontId="0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center" vertical="center"/>
    </xf>
    <xf numFmtId="175" fontId="6" fillId="0" borderId="0" xfId="0" applyNumberFormat="1" applyFont="1" applyAlignment="1" applyProtection="1">
      <alignment vertical="center"/>
      <protection hidden="1"/>
    </xf>
    <xf numFmtId="175" fontId="7" fillId="0" borderId="0" xfId="0" applyNumberFormat="1" applyFont="1" applyFill="1" applyBorder="1" applyAlignment="1">
      <alignment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44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36" borderId="14" xfId="0" applyNumberFormat="1" applyFont="1" applyFill="1" applyBorder="1" applyAlignment="1" applyProtection="1">
      <alignment horizontal="left" vertical="center"/>
      <protection locked="0"/>
    </xf>
    <xf numFmtId="0" fontId="6" fillId="36" borderId="44" xfId="0" applyNumberFormat="1" applyFont="1" applyFill="1" applyBorder="1" applyAlignment="1" applyProtection="1">
      <alignment horizontal="left" vertical="center"/>
      <protection locked="0"/>
    </xf>
    <xf numFmtId="0" fontId="6" fillId="36" borderId="15" xfId="0" applyNumberFormat="1" applyFont="1" applyFill="1" applyBorder="1" applyAlignment="1" applyProtection="1">
      <alignment horizontal="left" vertical="center"/>
      <protection locked="0"/>
    </xf>
    <xf numFmtId="0" fontId="6" fillId="36" borderId="61" xfId="0" applyNumberFormat="1" applyFont="1" applyFill="1" applyBorder="1" applyAlignment="1" applyProtection="1">
      <alignment horizontal="left" vertical="center"/>
      <protection locked="0"/>
    </xf>
    <xf numFmtId="0" fontId="6" fillId="36" borderId="62" xfId="0" applyNumberFormat="1" applyFont="1" applyFill="1" applyBorder="1" applyAlignment="1" applyProtection="1">
      <alignment horizontal="left" vertical="center"/>
      <protection locked="0"/>
    </xf>
    <xf numFmtId="0" fontId="6" fillId="33" borderId="14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NumberFormat="1" applyFont="1" applyFill="1" applyBorder="1" applyAlignment="1" applyProtection="1">
      <alignment horizontal="left" vertical="center"/>
      <protection locked="0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4" borderId="44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 applyProtection="1">
      <alignment horizontal="center" vertical="center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S101"/>
  <sheetViews>
    <sheetView showGridLines="0" tabSelected="1" view="pageBreakPreview" zoomScaleSheetLayoutView="100" workbookViewId="0" topLeftCell="A1">
      <selection activeCell="P40" sqref="P40"/>
    </sheetView>
  </sheetViews>
  <sheetFormatPr defaultColWidth="9.140625" defaultRowHeight="12.75"/>
  <cols>
    <col min="1" max="1" width="4.57421875" style="65" customWidth="1"/>
    <col min="2" max="2" width="2.7109375" style="65" customWidth="1"/>
    <col min="3" max="3" width="6.7109375" style="65" customWidth="1"/>
    <col min="4" max="4" width="7.00390625" style="65" customWidth="1"/>
    <col min="5" max="5" width="7.7109375" style="65" customWidth="1"/>
    <col min="6" max="6" width="7.421875" style="65" customWidth="1"/>
    <col min="7" max="7" width="6.28125" style="65" customWidth="1"/>
    <col min="8" max="8" width="5.28125" style="65" customWidth="1"/>
    <col min="9" max="9" width="6.140625" style="65" customWidth="1"/>
    <col min="10" max="10" width="6.00390625" style="65" customWidth="1"/>
    <col min="11" max="11" width="8.00390625" style="65" customWidth="1"/>
    <col min="12" max="12" width="7.8515625" style="65" customWidth="1"/>
    <col min="13" max="13" width="6.7109375" style="65" customWidth="1"/>
    <col min="14" max="14" width="7.00390625" style="65" customWidth="1"/>
    <col min="15" max="15" width="6.421875" style="65" customWidth="1"/>
    <col min="16" max="16" width="6.7109375" style="65" customWidth="1"/>
    <col min="17" max="17" width="6.00390625" style="65" customWidth="1"/>
    <col min="18" max="18" width="6.8515625" style="65" customWidth="1"/>
    <col min="19" max="19" width="8.140625" style="65" customWidth="1"/>
    <col min="20" max="20" width="7.421875" style="65" customWidth="1"/>
    <col min="21" max="21" width="7.7109375" style="65" customWidth="1"/>
    <col min="22" max="22" width="6.140625" style="65" customWidth="1"/>
    <col min="23" max="23" width="8.421875" style="65" customWidth="1"/>
    <col min="24" max="24" width="6.8515625" style="65" customWidth="1"/>
    <col min="25" max="25" width="6.8515625" style="18" customWidth="1"/>
    <col min="26" max="28" width="6.421875" style="18" customWidth="1"/>
    <col min="29" max="32" width="12.28125" style="65" customWidth="1"/>
    <col min="33" max="33" width="6.57421875" style="65" customWidth="1"/>
    <col min="34" max="34" width="11.57421875" style="65" hidden="1" customWidth="1"/>
    <col min="35" max="35" width="4.8515625" style="65" hidden="1" customWidth="1"/>
    <col min="36" max="36" width="15.28125" style="65" hidden="1" customWidth="1"/>
    <col min="37" max="38" width="6.00390625" style="65" hidden="1" customWidth="1"/>
    <col min="39" max="39" width="4.00390625" style="65" hidden="1" customWidth="1"/>
    <col min="40" max="40" width="14.8515625" style="65" hidden="1" customWidth="1"/>
    <col min="41" max="41" width="6.00390625" style="65" hidden="1" customWidth="1"/>
    <col min="42" max="42" width="7.00390625" style="65" hidden="1" customWidth="1"/>
    <col min="43" max="43" width="3.00390625" style="65" hidden="1" customWidth="1"/>
    <col min="44" max="44" width="6.00390625" style="65" hidden="1" customWidth="1"/>
    <col min="45" max="45" width="5.57421875" style="65" hidden="1" customWidth="1"/>
    <col min="46" max="16384" width="9.140625" style="65" customWidth="1"/>
  </cols>
  <sheetData>
    <row r="1" spans="1:32" s="13" customFormat="1" ht="12">
      <c r="A1" s="173" t="s">
        <v>32</v>
      </c>
      <c r="B1" s="174"/>
      <c r="C1" s="174"/>
      <c r="D1" s="175"/>
      <c r="E1" s="176"/>
      <c r="F1" s="177"/>
      <c r="G1" s="178"/>
      <c r="I1" s="14" t="s">
        <v>31</v>
      </c>
      <c r="J1" s="15"/>
      <c r="K1" s="179"/>
      <c r="L1" s="180"/>
      <c r="M1" s="16"/>
      <c r="R1" s="16"/>
      <c r="S1" s="16"/>
      <c r="Y1" s="17"/>
      <c r="Z1" s="17">
        <f>IF(INDEX($AH$9:$AQ$19,MATCH($E$2,$AH$9:$AH$19,0),10)&gt;INDEX($AH$9:$AQ$19,MATCH($O$2,$AH$9:$AH$19,0),10),INDEX($AH$9:$AQ$19,MATCH($AA$1,$AQ$9:$AQ$19,0),1),0)</f>
        <v>0</v>
      </c>
      <c r="AA1" s="17">
        <f>INDEX($AH$9:$AQ$19,MATCH($E$2,$AH$9:$AH$19,0),10)</f>
        <v>3</v>
      </c>
      <c r="AB1" s="17"/>
      <c r="AE1" s="13" t="str">
        <f>"CON1"</f>
        <v>CON1</v>
      </c>
      <c r="AF1" s="13">
        <f>IF(Z1=0,INDEX($AH$9:$AP$19,MATCH($O$2,$AH$9:$AH$19,0),9),INDEX($AH$9:$AP$19,MATCH($Z$1,$AH$9:$AH$19,0),9))</f>
        <v>50500</v>
      </c>
    </row>
    <row r="2" spans="1:28" s="13" customFormat="1" ht="12">
      <c r="A2" s="173" t="s">
        <v>0</v>
      </c>
      <c r="B2" s="174"/>
      <c r="C2" s="174"/>
      <c r="D2" s="175"/>
      <c r="E2" s="181" t="s">
        <v>42</v>
      </c>
      <c r="F2" s="182"/>
      <c r="G2" s="123" t="str">
        <f>INDEX($AH$9:$AP$19,MATCH($E$2,$AH$9:$AH$19,0),2)</f>
        <v>E3</v>
      </c>
      <c r="I2" s="14" t="s">
        <v>37</v>
      </c>
      <c r="J2" s="15"/>
      <c r="K2" s="183" t="str">
        <f>INDEX($AH$9:$AP$19,MATCH($E$2,$AH$9:$AH$19,0),3)</f>
        <v>13000-350-18250</v>
      </c>
      <c r="L2" s="184"/>
      <c r="M2" s="185" t="s">
        <v>127</v>
      </c>
      <c r="N2" s="186"/>
      <c r="O2" s="187" t="s">
        <v>42</v>
      </c>
      <c r="P2" s="188"/>
      <c r="Q2" s="123" t="str">
        <f>IF(Z1=0,INDEX($AH$9:$AP$19,MATCH($O$2,$AH$9:$AH$19,0),2),INDEX($AH$9:$AP$19,MATCH($Z$1,$AH$9:$AH$19,0),2))</f>
        <v>E3</v>
      </c>
      <c r="Y2" s="17"/>
      <c r="Z2" s="17"/>
      <c r="AA2" s="17"/>
      <c r="AB2" s="17"/>
    </row>
    <row r="3" spans="1:28" s="13" customFormat="1" ht="12.75" customHeight="1">
      <c r="A3" s="173" t="s">
        <v>36</v>
      </c>
      <c r="B3" s="174"/>
      <c r="C3" s="174"/>
      <c r="D3" s="175"/>
      <c r="E3" s="143">
        <v>16150</v>
      </c>
      <c r="I3" s="14" t="s">
        <v>28</v>
      </c>
      <c r="J3" s="15"/>
      <c r="K3" s="190" t="str">
        <f>INDEX($AH$9:$AP$19,MATCH($E$2,$AH$9:$AH$19,0),7)</f>
        <v>24,900 - 50,500</v>
      </c>
      <c r="L3" s="191"/>
      <c r="O3" s="183" t="str">
        <f>INDEX($AH$9:$AP$19,MATCH($O$2,$AH$9:$AH$19,0),7)</f>
        <v>24,900 - 50,500</v>
      </c>
      <c r="P3" s="189"/>
      <c r="Q3" s="184"/>
      <c r="Y3" s="17"/>
      <c r="Z3" s="17"/>
      <c r="AA3" s="17"/>
      <c r="AB3" s="17"/>
    </row>
    <row r="4" spans="1:28" s="13" customFormat="1" ht="12">
      <c r="A4" s="173" t="s">
        <v>35</v>
      </c>
      <c r="B4" s="174"/>
      <c r="C4" s="174"/>
      <c r="D4" s="175"/>
      <c r="E4" s="143" t="s">
        <v>19</v>
      </c>
      <c r="I4" s="14" t="s">
        <v>102</v>
      </c>
      <c r="J4" s="15"/>
      <c r="K4" s="142">
        <f>IF($K$5="A",30%,IF($K$5="A-1",15%,IF($K$5="B-1",15%,IF($K$5="B-2",15%,IF($K$5="C",7.5%,IF($K$5="UC",5%,0))))))</f>
        <v>0.15</v>
      </c>
      <c r="L4" s="142">
        <f>IF($K$4=30%,30%,IF($K$4=15%,20%,10%))</f>
        <v>0.2</v>
      </c>
      <c r="Y4" s="17"/>
      <c r="Z4" s="17"/>
      <c r="AA4" s="17"/>
      <c r="AB4" s="17"/>
    </row>
    <row r="5" spans="1:28" s="13" customFormat="1" ht="15" customHeight="1">
      <c r="A5" s="173" t="s">
        <v>38</v>
      </c>
      <c r="B5" s="174"/>
      <c r="C5" s="174"/>
      <c r="D5" s="175"/>
      <c r="E5" s="143" t="s">
        <v>103</v>
      </c>
      <c r="I5" s="12" t="s">
        <v>101</v>
      </c>
      <c r="J5" s="15"/>
      <c r="K5" s="143" t="s">
        <v>105</v>
      </c>
      <c r="L5" s="143" t="s">
        <v>43</v>
      </c>
      <c r="M5" s="17">
        <f>MIN(IF(OR(OR($G$2="E9",$G$2="E9A",$G$2="DIR",$G$2="CMD")*AND($K$6&gt;0),($G$2="E7")*AND($K$6=1)),$P$6,MAX(IF(A9=$E$4,ROUNDUP(((($E$3-$J$6)*130%)*168.8%)*103%,-1),ROUNDUP(((E3*130%)*168.8%),-1)),$N$6)),$O$6)</f>
        <v>35440</v>
      </c>
      <c r="N5" s="17"/>
      <c r="O5" s="17"/>
      <c r="P5" s="17"/>
      <c r="Q5" s="18"/>
      <c r="R5" s="17"/>
      <c r="S5" s="17"/>
      <c r="T5" s="17"/>
      <c r="U5" s="17"/>
      <c r="Y5" s="17"/>
      <c r="Z5" s="17"/>
      <c r="AA5" s="17"/>
      <c r="AB5" s="17"/>
    </row>
    <row r="6" spans="1:28" s="13" customFormat="1" ht="45.75" customHeight="1">
      <c r="A6" s="137" t="s">
        <v>134</v>
      </c>
      <c r="Y6" s="17"/>
      <c r="Z6" s="17"/>
      <c r="AA6" s="17"/>
      <c r="AB6" s="17"/>
    </row>
    <row r="7" spans="1:28" s="13" customFormat="1" ht="12">
      <c r="A7" s="162" t="s">
        <v>5</v>
      </c>
      <c r="B7" s="163"/>
      <c r="C7" s="166" t="s">
        <v>129</v>
      </c>
      <c r="D7" s="167"/>
      <c r="E7" s="167"/>
      <c r="F7" s="167"/>
      <c r="G7" s="167"/>
      <c r="H7" s="167"/>
      <c r="I7" s="167"/>
      <c r="J7" s="167"/>
      <c r="K7" s="167"/>
      <c r="L7" s="166" t="s">
        <v>130</v>
      </c>
      <c r="M7" s="167"/>
      <c r="N7" s="167"/>
      <c r="O7" s="167"/>
      <c r="P7" s="167"/>
      <c r="Q7" s="167"/>
      <c r="R7" s="167"/>
      <c r="S7" s="168"/>
      <c r="T7" s="160" t="s">
        <v>10</v>
      </c>
      <c r="U7" s="172" t="s">
        <v>128</v>
      </c>
      <c r="V7" s="172"/>
      <c r="W7" s="172"/>
      <c r="X7" s="160" t="s">
        <v>10</v>
      </c>
      <c r="Y7" s="157"/>
      <c r="Z7" s="17"/>
      <c r="AA7" s="17"/>
      <c r="AB7" s="17"/>
    </row>
    <row r="8" spans="1:28" s="13" customFormat="1" ht="12">
      <c r="A8" s="164"/>
      <c r="B8" s="165"/>
      <c r="C8" s="141" t="s">
        <v>39</v>
      </c>
      <c r="D8" s="144" t="s">
        <v>26</v>
      </c>
      <c r="E8" s="145" t="s">
        <v>7</v>
      </c>
      <c r="F8" s="145" t="s">
        <v>2</v>
      </c>
      <c r="G8" s="145" t="s">
        <v>8</v>
      </c>
      <c r="H8" s="145" t="s">
        <v>34</v>
      </c>
      <c r="I8" s="145" t="s">
        <v>9</v>
      </c>
      <c r="J8" s="145" t="s">
        <v>27</v>
      </c>
      <c r="K8" s="140" t="s">
        <v>23</v>
      </c>
      <c r="L8" s="19" t="s">
        <v>118</v>
      </c>
      <c r="M8" s="145" t="s">
        <v>7</v>
      </c>
      <c r="N8" s="145" t="s">
        <v>2</v>
      </c>
      <c r="O8" s="145" t="s">
        <v>8</v>
      </c>
      <c r="P8" s="145" t="s">
        <v>34</v>
      </c>
      <c r="Q8" s="145" t="s">
        <v>9</v>
      </c>
      <c r="R8" s="146" t="s">
        <v>27</v>
      </c>
      <c r="S8" s="140" t="s">
        <v>23</v>
      </c>
      <c r="T8" s="161"/>
      <c r="U8" s="19" t="s">
        <v>119</v>
      </c>
      <c r="V8" s="19" t="s">
        <v>7</v>
      </c>
      <c r="W8" s="19" t="s">
        <v>23</v>
      </c>
      <c r="X8" s="161"/>
      <c r="Y8" s="17"/>
      <c r="Z8" s="17">
        <f>IF(C9=0,0,IF('Manual Data'!E8=1,MIN(IF(OR(OR($G$2="E9",$G$2="E9A",$G$2="DIR",$G$2="CMD")*AND(BUN1&gt;0),($G$2="E7")*AND(BUN1=1)),BUNF1,MAX(ROUNDUP((($E$3*130%)*168.8%),-1),NBPL1)),NBPH1),'Manual Data'!E8))</f>
        <v>35440</v>
      </c>
      <c r="AA8" s="17">
        <f>IF(C9=0,0,IF('Manual Data'!E8=1,MIN(IF(OR(OR($G$2="E9",$G$2="E9A",$G$2="DIR",$G$2="CMD")*AND(BUN1&gt;0),($G$2="E7")*AND(BUN1=1)),BUNF1,MAX(ROUNDUP((($E$3*130%)*178.2%),-1),NBPL1)),NBPH1),'Manual Data'!E8))</f>
        <v>37420</v>
      </c>
      <c r="AB8" s="17">
        <f>IF('Manual Data'!D8=1,MIN($E$3,OBPH1),'Manual Data'!D8)</f>
        <v>16150</v>
      </c>
    </row>
    <row r="9" spans="1:45" s="13" customFormat="1" ht="12">
      <c r="A9" s="22" t="s">
        <v>13</v>
      </c>
      <c r="B9" s="23" t="s">
        <v>22</v>
      </c>
      <c r="C9" s="24">
        <f>AB9</f>
        <v>16150</v>
      </c>
      <c r="D9" s="25">
        <f>ROUNDUP(C9/2,0)</f>
        <v>8075</v>
      </c>
      <c r="E9" s="25">
        <f>ROUND((C9+D9)*18.8%,0)</f>
        <v>4554</v>
      </c>
      <c r="F9" s="25">
        <f>IF($E$5="No",ROUND((C9+D9)*IF('Manual Data'!F8=1%,$K$4,'Manual Data'!F8),0),0)</f>
        <v>3634</v>
      </c>
      <c r="G9" s="25">
        <f>IF(C10=0,0,IF($L$5="Yes",IF('Manual Data'!G8=1,IF(OR($K$5="A",$K$5="A-1"),IF(OR($G$2="E1A",$G$2="E2A"),800,1400),IF(NOT(OR($G$2="E1A",$G$2="E2A")),800,500)),'Manual Data'!G8),0))</f>
        <v>1400</v>
      </c>
      <c r="H9" s="25">
        <f>ROUND(C9*2%,0)</f>
        <v>323</v>
      </c>
      <c r="I9" s="25">
        <f>ROUND(C9*2%,0)</f>
        <v>323</v>
      </c>
      <c r="J9" s="25">
        <f>IF(C9=0,0,IF($K$5="A",300,IF($K$5="A-1",240,IF($K$5="B-1",180,IF($K$5="B-2",120,0)))))</f>
        <v>240</v>
      </c>
      <c r="K9" s="26">
        <f>SUM(C9:J9)</f>
        <v>34699</v>
      </c>
      <c r="L9" s="24">
        <f>Z9</f>
        <v>35440</v>
      </c>
      <c r="M9" s="25">
        <f>ROUND(L9*0%,0)</f>
        <v>0</v>
      </c>
      <c r="N9" s="25">
        <f>F9</f>
        <v>3634</v>
      </c>
      <c r="O9" s="25">
        <f>G9</f>
        <v>1400</v>
      </c>
      <c r="P9" s="25">
        <f>H9</f>
        <v>323</v>
      </c>
      <c r="Q9" s="25">
        <f>I9</f>
        <v>323</v>
      </c>
      <c r="R9" s="25">
        <f>J9</f>
        <v>240</v>
      </c>
      <c r="S9" s="27">
        <f>SUM(L9:R9)</f>
        <v>41360</v>
      </c>
      <c r="T9" s="28">
        <f aca="true" t="shared" si="0" ref="T9:T34">S9-K9</f>
        <v>6661</v>
      </c>
      <c r="U9" s="24">
        <f>AA9</f>
        <v>37420</v>
      </c>
      <c r="V9" s="25">
        <f>ROUND(U9*0%,0)</f>
        <v>0</v>
      </c>
      <c r="W9" s="27">
        <f>SUM(N9:R9)+U9+V9</f>
        <v>43340</v>
      </c>
      <c r="X9" s="28">
        <f aca="true" t="shared" si="1" ref="X9:X34">W9-S9</f>
        <v>1980</v>
      </c>
      <c r="Y9" s="18"/>
      <c r="Z9" s="158">
        <f>IF(C9=0,0,MIN(ROUNDUP(IF('Manual Data'!E8=1,IF(A9='Manual Data'!N8,ROUND(Z8*103%-0.01,0),Z8),'Manual Data'!E8),-1),NBPH1))</f>
        <v>35440</v>
      </c>
      <c r="AA9" s="17">
        <f>IF(C9=0,0,MIN(ROUNDUP(IF('Manual Data'!E8=1,IF(A9='Manual Data'!N8,ROUND(AA8*103%-0.01,0),AA8),'Manual Data'!E8),-1),NBPH1))</f>
        <v>37420</v>
      </c>
      <c r="AB9" s="17">
        <f>MIN(IF('Manual Data'!D8=1,IF(A9='Manual Data'!N8,AB8+'Manual Data'!O8,AB8),'Manual Data'!D8),OBPH1)</f>
        <v>16150</v>
      </c>
      <c r="AC9" s="16"/>
      <c r="AD9" s="16"/>
      <c r="AE9" s="16"/>
      <c r="AF9" s="16"/>
      <c r="AH9" s="13" t="s">
        <v>56</v>
      </c>
      <c r="AI9" s="13" t="s">
        <v>44</v>
      </c>
      <c r="AJ9" s="13" t="s">
        <v>64</v>
      </c>
      <c r="AK9" s="13">
        <v>9850</v>
      </c>
      <c r="AL9" s="13">
        <v>14600</v>
      </c>
      <c r="AM9" s="13">
        <v>250</v>
      </c>
      <c r="AN9" s="13" t="s">
        <v>75</v>
      </c>
      <c r="AO9" s="13">
        <v>16400</v>
      </c>
      <c r="AP9" s="13">
        <v>40500</v>
      </c>
      <c r="AQ9" s="13">
        <v>1</v>
      </c>
      <c r="AR9" s="13">
        <f>ROUNDUP(NBPL1*103%,-1)</f>
        <v>25650</v>
      </c>
      <c r="AS9" s="13" t="s">
        <v>86</v>
      </c>
    </row>
    <row r="10" spans="1:45" s="13" customFormat="1" ht="12">
      <c r="A10" s="31" t="s">
        <v>14</v>
      </c>
      <c r="B10" s="32" t="s">
        <v>22</v>
      </c>
      <c r="C10" s="24">
        <f aca="true" t="shared" si="2" ref="C10:C34">AB10</f>
        <v>16150</v>
      </c>
      <c r="D10" s="33">
        <f aca="true" t="shared" si="3" ref="D10:D37">ROUNDUP(C10/2,0)</f>
        <v>8075</v>
      </c>
      <c r="E10" s="33">
        <f>ROUND((C10+D10)*18.8%,0)</f>
        <v>4554</v>
      </c>
      <c r="F10" s="33">
        <f>IF($E$5="No",ROUND((C10+D10)*IF('Manual Data'!F9=1%,$K$4,'Manual Data'!F9),0),0)</f>
        <v>3634</v>
      </c>
      <c r="G10" s="33">
        <f>IF(C11=0,0,IF($L$5="Yes",IF('Manual Data'!G9=1,IF(OR($K$5="A",$K$5="A-1"),IF(OR($G$2="E1A",$G$2="E2A"),800,1400),IF(NOT(OR($G$2="E1A",$G$2="E2A")),800,500)),'Manual Data'!G9),0))</f>
        <v>1400</v>
      </c>
      <c r="H10" s="33">
        <f aca="true" t="shared" si="4" ref="H10:H33">ROUND(C10*2%,0)</f>
        <v>323</v>
      </c>
      <c r="I10" s="33">
        <f aca="true" t="shared" si="5" ref="I10:I33">ROUND(C10*2%,0)</f>
        <v>323</v>
      </c>
      <c r="J10" s="33">
        <f>IF(C10=0,0,IF($K$5="A",300,IF($K$5="A-1",240,IF($K$5="B-1",180,IF($K$5="B-2",120,0)))))</f>
        <v>240</v>
      </c>
      <c r="K10" s="34">
        <f aca="true" t="shared" si="6" ref="K10:K33">SUM(C10:J10)</f>
        <v>34699</v>
      </c>
      <c r="L10" s="24">
        <f aca="true" t="shared" si="7" ref="L10:L34">Z10</f>
        <v>35440</v>
      </c>
      <c r="M10" s="33">
        <f aca="true" t="shared" si="8" ref="M10:M34">ROUND(L10*Y10%,0)</f>
        <v>0</v>
      </c>
      <c r="N10" s="33">
        <f aca="true" t="shared" si="9" ref="N10:R32">F10</f>
        <v>3634</v>
      </c>
      <c r="O10" s="33">
        <f t="shared" si="9"/>
        <v>1400</v>
      </c>
      <c r="P10" s="33">
        <f t="shared" si="9"/>
        <v>323</v>
      </c>
      <c r="Q10" s="33">
        <f t="shared" si="9"/>
        <v>323</v>
      </c>
      <c r="R10" s="33">
        <f t="shared" si="9"/>
        <v>240</v>
      </c>
      <c r="S10" s="64">
        <f aca="true" t="shared" si="10" ref="S10:S34">SUM(L10:R10)</f>
        <v>41360</v>
      </c>
      <c r="T10" s="35">
        <f t="shared" si="0"/>
        <v>6661</v>
      </c>
      <c r="U10" s="24">
        <f aca="true" t="shared" si="11" ref="U10:U34">AA10</f>
        <v>37420</v>
      </c>
      <c r="V10" s="33">
        <f aca="true" t="shared" si="12" ref="V10:V34">ROUND(U10*Y10%,0)</f>
        <v>0</v>
      </c>
      <c r="W10" s="64">
        <f aca="true" t="shared" si="13" ref="W10:W34">SUM(N10:R10)+U10+V10</f>
        <v>43340</v>
      </c>
      <c r="X10" s="35">
        <f t="shared" si="1"/>
        <v>1980</v>
      </c>
      <c r="Y10" s="18">
        <v>0</v>
      </c>
      <c r="Z10" s="158">
        <f>IF(C10=0,0,MIN(ROUNDUP(IF('Manual Data'!E9=1,IF(A10='Manual Data'!N9,ROUND(Z9*103%-0.01,0),Z9),'Manual Data'!E9),-1),NBPH1))</f>
        <v>35440</v>
      </c>
      <c r="AA10" s="17">
        <f>IF(C10=0,0,MIN(ROUNDUP(IF('Manual Data'!E9=1,IF(A10='Manual Data'!N9,ROUND(AA9*103%-0.01,0),AA9),'Manual Data'!E9),-1),NBPH1))</f>
        <v>37420</v>
      </c>
      <c r="AB10" s="17">
        <f>MIN(IF('Manual Data'!D9=1,IF(A10='Manual Data'!N9,AB9+'Manual Data'!O9,AB9),'Manual Data'!D9),OBPH1)</f>
        <v>16150</v>
      </c>
      <c r="AC10" s="16"/>
      <c r="AD10" s="16"/>
      <c r="AE10" s="16"/>
      <c r="AF10" s="16"/>
      <c r="AH10" s="13" t="s">
        <v>55</v>
      </c>
      <c r="AI10" s="13" t="s">
        <v>45</v>
      </c>
      <c r="AJ10" s="13" t="s">
        <v>65</v>
      </c>
      <c r="AK10" s="13">
        <v>11875</v>
      </c>
      <c r="AL10" s="13">
        <v>17275</v>
      </c>
      <c r="AM10" s="13">
        <v>300</v>
      </c>
      <c r="AN10" s="13" t="s">
        <v>76</v>
      </c>
      <c r="AO10" s="13">
        <v>20600</v>
      </c>
      <c r="AP10" s="13">
        <v>46500</v>
      </c>
      <c r="AQ10" s="13">
        <v>2</v>
      </c>
      <c r="AR10" s="13">
        <f>ROUNDUP(AR9*103%,-1)</f>
        <v>26420</v>
      </c>
      <c r="AS10" s="13" t="s">
        <v>87</v>
      </c>
    </row>
    <row r="11" spans="1:45" s="13" customFormat="1" ht="12">
      <c r="A11" s="31" t="s">
        <v>15</v>
      </c>
      <c r="B11" s="32" t="s">
        <v>22</v>
      </c>
      <c r="C11" s="24">
        <f t="shared" si="2"/>
        <v>16150</v>
      </c>
      <c r="D11" s="33">
        <f t="shared" si="3"/>
        <v>8075</v>
      </c>
      <c r="E11" s="33">
        <f>ROUND((C11+D11)*18.8%,0)</f>
        <v>4554</v>
      </c>
      <c r="F11" s="33">
        <f>IF($E$5="No",ROUND((C11+D11)*IF('Manual Data'!F10=1%,$K$4,'Manual Data'!F10),0),0)</f>
        <v>3634</v>
      </c>
      <c r="G11" s="33">
        <f>IF(C12=0,0,IF($L$5="Yes",IF('Manual Data'!G10=1,IF(OR($K$5="A",$K$5="A-1"),IF(OR($G$2="E1A",$G$2="E2A"),800,1400),IF(NOT(OR($G$2="E1A",$G$2="E2A")),800,500)),'Manual Data'!G10),0))</f>
        <v>1400</v>
      </c>
      <c r="H11" s="33">
        <f t="shared" si="4"/>
        <v>323</v>
      </c>
      <c r="I11" s="33">
        <f t="shared" si="5"/>
        <v>323</v>
      </c>
      <c r="J11" s="33">
        <f aca="true" t="shared" si="14" ref="J11:J34">IF(C11=0,0,IF($K$5="A",300,IF($K$5="A-1",240,IF($K$5="B-1",180,IF($K$5="B-2",120,0)))))</f>
        <v>240</v>
      </c>
      <c r="K11" s="34">
        <f t="shared" si="6"/>
        <v>34699</v>
      </c>
      <c r="L11" s="24">
        <f t="shared" si="7"/>
        <v>35440</v>
      </c>
      <c r="M11" s="33">
        <f t="shared" si="8"/>
        <v>0</v>
      </c>
      <c r="N11" s="33">
        <f t="shared" si="9"/>
        <v>3634</v>
      </c>
      <c r="O11" s="33">
        <f t="shared" si="9"/>
        <v>1400</v>
      </c>
      <c r="P11" s="33">
        <f t="shared" si="9"/>
        <v>323</v>
      </c>
      <c r="Q11" s="33">
        <f t="shared" si="9"/>
        <v>323</v>
      </c>
      <c r="R11" s="33">
        <f t="shared" si="9"/>
        <v>240</v>
      </c>
      <c r="S11" s="64">
        <f t="shared" si="10"/>
        <v>41360</v>
      </c>
      <c r="T11" s="35">
        <f t="shared" si="0"/>
        <v>6661</v>
      </c>
      <c r="U11" s="24">
        <f t="shared" si="11"/>
        <v>37420</v>
      </c>
      <c r="V11" s="33">
        <f t="shared" si="12"/>
        <v>0</v>
      </c>
      <c r="W11" s="64">
        <f t="shared" si="13"/>
        <v>43340</v>
      </c>
      <c r="X11" s="35">
        <f t="shared" si="1"/>
        <v>1980</v>
      </c>
      <c r="Y11" s="18">
        <v>0</v>
      </c>
      <c r="Z11" s="158">
        <f>IF(C11=0,0,MIN(ROUNDUP(IF('Manual Data'!E10=1,IF(A11='Manual Data'!N10,ROUND(Z10*103%-0.01,0),Z10),'Manual Data'!E10),-1),NBPH1))</f>
        <v>35440</v>
      </c>
      <c r="AA11" s="17">
        <f>IF(C11=0,0,MIN(ROUNDUP(IF('Manual Data'!E10=1,IF(A11='Manual Data'!N10,ROUND(AA10*103%-0.01,0),AA10),'Manual Data'!E10),-1),NBPH1))</f>
        <v>37420</v>
      </c>
      <c r="AB11" s="17">
        <f>MIN(IF('Manual Data'!D10=1,IF(A11='Manual Data'!N10,AB10+'Manual Data'!O10,AB10),'Manual Data'!D10),OBPH1)</f>
        <v>16150</v>
      </c>
      <c r="AC11" s="16"/>
      <c r="AD11" s="16"/>
      <c r="AE11" s="16"/>
      <c r="AF11" s="16"/>
      <c r="AH11" s="13" t="s">
        <v>42</v>
      </c>
      <c r="AI11" s="13" t="s">
        <v>46</v>
      </c>
      <c r="AJ11" s="13" t="s">
        <v>66</v>
      </c>
      <c r="AK11" s="13">
        <v>13000</v>
      </c>
      <c r="AL11" s="13">
        <v>18250</v>
      </c>
      <c r="AM11" s="13">
        <v>350</v>
      </c>
      <c r="AN11" s="13" t="s">
        <v>77</v>
      </c>
      <c r="AO11" s="13">
        <v>24900</v>
      </c>
      <c r="AP11" s="13">
        <v>50500</v>
      </c>
      <c r="AQ11" s="13">
        <v>3</v>
      </c>
      <c r="AR11" s="13">
        <f aca="true" t="shared" si="15" ref="AR11:AR34">ROUNDUP(AR10*103%,-1)</f>
        <v>27220</v>
      </c>
      <c r="AS11" s="13" t="s">
        <v>88</v>
      </c>
    </row>
    <row r="12" spans="1:45" s="13" customFormat="1" ht="12">
      <c r="A12" s="31" t="s">
        <v>16</v>
      </c>
      <c r="B12" s="32" t="s">
        <v>22</v>
      </c>
      <c r="C12" s="24">
        <f t="shared" si="2"/>
        <v>16150</v>
      </c>
      <c r="D12" s="33">
        <f t="shared" si="3"/>
        <v>8075</v>
      </c>
      <c r="E12" s="33">
        <f>ROUND((C12+D12)*20.2%,0)</f>
        <v>4893</v>
      </c>
      <c r="F12" s="33">
        <f>IF($E$5="No",ROUND((C12+D12)*IF('Manual Data'!F11=1%,$K$4,'Manual Data'!F11),0),0)</f>
        <v>3634</v>
      </c>
      <c r="G12" s="33">
        <f>IF(C13=0,0,IF($L$5="Yes",IF('Manual Data'!G11=1,IF(OR($K$5="A",$K$5="A-1"),IF(OR($G$2="E1A",$G$2="E2A"),800,1400),IF(NOT(OR($G$2="E1A",$G$2="E2A")),800,500)),'Manual Data'!G11),0))</f>
        <v>1400</v>
      </c>
      <c r="H12" s="33">
        <f t="shared" si="4"/>
        <v>323</v>
      </c>
      <c r="I12" s="33">
        <f t="shared" si="5"/>
        <v>323</v>
      </c>
      <c r="J12" s="33">
        <f t="shared" si="14"/>
        <v>240</v>
      </c>
      <c r="K12" s="34">
        <f t="shared" si="6"/>
        <v>35038</v>
      </c>
      <c r="L12" s="24">
        <f t="shared" si="7"/>
        <v>35440</v>
      </c>
      <c r="M12" s="33">
        <f t="shared" si="8"/>
        <v>284</v>
      </c>
      <c r="N12" s="33">
        <f t="shared" si="9"/>
        <v>3634</v>
      </c>
      <c r="O12" s="33">
        <f t="shared" si="9"/>
        <v>1400</v>
      </c>
      <c r="P12" s="33">
        <f t="shared" si="9"/>
        <v>323</v>
      </c>
      <c r="Q12" s="33">
        <f t="shared" si="9"/>
        <v>323</v>
      </c>
      <c r="R12" s="33">
        <f t="shared" si="9"/>
        <v>240</v>
      </c>
      <c r="S12" s="64">
        <f t="shared" si="10"/>
        <v>41644</v>
      </c>
      <c r="T12" s="35">
        <f t="shared" si="0"/>
        <v>6606</v>
      </c>
      <c r="U12" s="24">
        <f t="shared" si="11"/>
        <v>37420</v>
      </c>
      <c r="V12" s="33">
        <f t="shared" si="12"/>
        <v>299</v>
      </c>
      <c r="W12" s="64">
        <f t="shared" si="13"/>
        <v>43639</v>
      </c>
      <c r="X12" s="35">
        <f t="shared" si="1"/>
        <v>1995</v>
      </c>
      <c r="Y12" s="18">
        <v>0.8</v>
      </c>
      <c r="Z12" s="158">
        <f>IF(C12=0,0,MIN(ROUNDUP(IF('Manual Data'!E11=1,IF(A12='Manual Data'!N11,ROUND(Z11*103%-0.01,0),Z11),'Manual Data'!E11),-1),NBPH1))</f>
        <v>35440</v>
      </c>
      <c r="AA12" s="17">
        <f>IF(C12=0,0,MIN(ROUNDUP(IF('Manual Data'!E11=1,IF(A12='Manual Data'!N11,ROUND(AA11*103%-0.01,0),AA11),'Manual Data'!E11),-1),NBPH1))</f>
        <v>37420</v>
      </c>
      <c r="AB12" s="17">
        <f>MIN(IF('Manual Data'!D11=1,IF(A12='Manual Data'!N11,AB11+'Manual Data'!O11,AB11),'Manual Data'!D11),OBPH1)</f>
        <v>16150</v>
      </c>
      <c r="AC12" s="16"/>
      <c r="AD12" s="16"/>
      <c r="AE12" s="16"/>
      <c r="AF12" s="16"/>
      <c r="AH12" s="13" t="s">
        <v>57</v>
      </c>
      <c r="AI12" s="13" t="s">
        <v>47</v>
      </c>
      <c r="AJ12" s="13" t="s">
        <v>67</v>
      </c>
      <c r="AK12" s="13">
        <v>14500</v>
      </c>
      <c r="AL12" s="13">
        <v>18700</v>
      </c>
      <c r="AM12" s="13">
        <v>350</v>
      </c>
      <c r="AN12" s="13" t="s">
        <v>78</v>
      </c>
      <c r="AO12" s="13">
        <v>29100</v>
      </c>
      <c r="AP12" s="13">
        <v>54500</v>
      </c>
      <c r="AQ12" s="13">
        <v>4</v>
      </c>
      <c r="AR12" s="13">
        <f t="shared" si="15"/>
        <v>28040</v>
      </c>
      <c r="AS12" s="13" t="s">
        <v>89</v>
      </c>
    </row>
    <row r="13" spans="1:45" s="13" customFormat="1" ht="12">
      <c r="A13" s="31" t="s">
        <v>17</v>
      </c>
      <c r="B13" s="32" t="s">
        <v>22</v>
      </c>
      <c r="C13" s="24">
        <f t="shared" si="2"/>
        <v>16150</v>
      </c>
      <c r="D13" s="33">
        <f t="shared" si="3"/>
        <v>8075</v>
      </c>
      <c r="E13" s="33">
        <f>ROUND((C13+D13)*20.2%,0)</f>
        <v>4893</v>
      </c>
      <c r="F13" s="33">
        <f>IF($E$5="No",ROUND((C13+D13)*IF('Manual Data'!F12=1%,$K$4,'Manual Data'!F12),0),0)</f>
        <v>3634</v>
      </c>
      <c r="G13" s="33">
        <f>IF(C14=0,0,IF($L$5="Yes",IF('Manual Data'!G12=1,IF(OR($K$5="A",$K$5="A-1"),IF(OR($G$2="E1A",$G$2="E2A"),800,1400),IF(NOT(OR($G$2="E1A",$G$2="E2A")),800,500)),'Manual Data'!G12),0))</f>
        <v>1400</v>
      </c>
      <c r="H13" s="33">
        <f t="shared" si="4"/>
        <v>323</v>
      </c>
      <c r="I13" s="33">
        <f t="shared" si="5"/>
        <v>323</v>
      </c>
      <c r="J13" s="33">
        <f t="shared" si="14"/>
        <v>240</v>
      </c>
      <c r="K13" s="34">
        <f t="shared" si="6"/>
        <v>35038</v>
      </c>
      <c r="L13" s="24">
        <f t="shared" si="7"/>
        <v>35440</v>
      </c>
      <c r="M13" s="33">
        <f t="shared" si="8"/>
        <v>284</v>
      </c>
      <c r="N13" s="33">
        <f t="shared" si="9"/>
        <v>3634</v>
      </c>
      <c r="O13" s="33">
        <f t="shared" si="9"/>
        <v>1400</v>
      </c>
      <c r="P13" s="33">
        <f t="shared" si="9"/>
        <v>323</v>
      </c>
      <c r="Q13" s="33">
        <f t="shared" si="9"/>
        <v>323</v>
      </c>
      <c r="R13" s="33">
        <f t="shared" si="9"/>
        <v>240</v>
      </c>
      <c r="S13" s="64">
        <f t="shared" si="10"/>
        <v>41644</v>
      </c>
      <c r="T13" s="35">
        <f t="shared" si="0"/>
        <v>6606</v>
      </c>
      <c r="U13" s="24">
        <f t="shared" si="11"/>
        <v>37420</v>
      </c>
      <c r="V13" s="33">
        <f t="shared" si="12"/>
        <v>299</v>
      </c>
      <c r="W13" s="64">
        <f t="shared" si="13"/>
        <v>43639</v>
      </c>
      <c r="X13" s="35">
        <f t="shared" si="1"/>
        <v>1995</v>
      </c>
      <c r="Y13" s="18">
        <v>0.8</v>
      </c>
      <c r="Z13" s="158">
        <f>IF(C13=0,0,MIN(ROUNDUP(IF('Manual Data'!E12=1,IF(A13='Manual Data'!N12,ROUND(Z12*103%-0.01,0),Z12),'Manual Data'!E12),-1),NBPH1))</f>
        <v>35440</v>
      </c>
      <c r="AA13" s="17">
        <f>IF(C13=0,0,MIN(ROUNDUP(IF('Manual Data'!E12=1,IF(A13='Manual Data'!N12,ROUND(AA12*103%-0.01,0),AA12),'Manual Data'!E12),-1),NBPH1))</f>
        <v>37420</v>
      </c>
      <c r="AB13" s="17">
        <f>MIN(IF('Manual Data'!D12=1,IF(A13='Manual Data'!N12,AB12+'Manual Data'!O12,AB12),'Manual Data'!D12),OBPH1)</f>
        <v>16150</v>
      </c>
      <c r="AC13" s="16"/>
      <c r="AD13" s="16"/>
      <c r="AE13" s="16"/>
      <c r="AF13" s="16"/>
      <c r="AH13" s="13" t="s">
        <v>58</v>
      </c>
      <c r="AI13" s="13" t="s">
        <v>48</v>
      </c>
      <c r="AJ13" s="13" t="s">
        <v>68</v>
      </c>
      <c r="AK13" s="13">
        <v>16000</v>
      </c>
      <c r="AL13" s="13">
        <v>20800</v>
      </c>
      <c r="AM13" s="13">
        <v>400</v>
      </c>
      <c r="AN13" s="13" t="s">
        <v>79</v>
      </c>
      <c r="AO13" s="13">
        <v>32900</v>
      </c>
      <c r="AP13" s="13">
        <v>58000</v>
      </c>
      <c r="AQ13" s="13">
        <v>5</v>
      </c>
      <c r="AR13" s="13">
        <f t="shared" si="15"/>
        <v>28890</v>
      </c>
      <c r="AS13" s="13" t="s">
        <v>90</v>
      </c>
    </row>
    <row r="14" spans="1:45" s="13" customFormat="1" ht="12">
      <c r="A14" s="31" t="s">
        <v>18</v>
      </c>
      <c r="B14" s="32" t="s">
        <v>22</v>
      </c>
      <c r="C14" s="24">
        <f t="shared" si="2"/>
        <v>16150</v>
      </c>
      <c r="D14" s="33">
        <f t="shared" si="3"/>
        <v>8075</v>
      </c>
      <c r="E14" s="33">
        <f>ROUND((C14+D14)*20.2%,0)</f>
        <v>4893</v>
      </c>
      <c r="F14" s="33">
        <f>IF($E$5="No",ROUND((C14+D14)*IF('Manual Data'!F13=1%,$K$4,'Manual Data'!F13),0),0)</f>
        <v>3634</v>
      </c>
      <c r="G14" s="33">
        <f>IF(C15=0,0,IF($L$5="Yes",IF('Manual Data'!G13=1,IF(OR($K$5="A",$K$5="A-1"),IF(OR($G$2="E1A",$G$2="E2A"),800,1400),IF(NOT(OR($G$2="E1A",$G$2="E2A")),800,500)),'Manual Data'!G13),0))</f>
        <v>1400</v>
      </c>
      <c r="H14" s="33">
        <f t="shared" si="4"/>
        <v>323</v>
      </c>
      <c r="I14" s="33">
        <f t="shared" si="5"/>
        <v>323</v>
      </c>
      <c r="J14" s="33">
        <f t="shared" si="14"/>
        <v>240</v>
      </c>
      <c r="K14" s="34">
        <f t="shared" si="6"/>
        <v>35038</v>
      </c>
      <c r="L14" s="24">
        <f t="shared" si="7"/>
        <v>35440</v>
      </c>
      <c r="M14" s="33">
        <f t="shared" si="8"/>
        <v>284</v>
      </c>
      <c r="N14" s="33">
        <f t="shared" si="9"/>
        <v>3634</v>
      </c>
      <c r="O14" s="33">
        <f t="shared" si="9"/>
        <v>1400</v>
      </c>
      <c r="P14" s="33">
        <f t="shared" si="9"/>
        <v>323</v>
      </c>
      <c r="Q14" s="33">
        <f t="shared" si="9"/>
        <v>323</v>
      </c>
      <c r="R14" s="33">
        <f t="shared" si="9"/>
        <v>240</v>
      </c>
      <c r="S14" s="64">
        <f t="shared" si="10"/>
        <v>41644</v>
      </c>
      <c r="T14" s="35">
        <f t="shared" si="0"/>
        <v>6606</v>
      </c>
      <c r="U14" s="24">
        <f t="shared" si="11"/>
        <v>37420</v>
      </c>
      <c r="V14" s="33">
        <f t="shared" si="12"/>
        <v>299</v>
      </c>
      <c r="W14" s="64">
        <f t="shared" si="13"/>
        <v>43639</v>
      </c>
      <c r="X14" s="35">
        <f t="shared" si="1"/>
        <v>1995</v>
      </c>
      <c r="Y14" s="18">
        <v>0.8</v>
      </c>
      <c r="Z14" s="158">
        <f>IF(C14=0,0,MIN(ROUNDUP(IF('Manual Data'!E13=1,IF(A14='Manual Data'!N13,ROUND(Z13*103%-0.01,0),Z13),'Manual Data'!E13),-1),NBPH1))</f>
        <v>35440</v>
      </c>
      <c r="AA14" s="17">
        <f>IF(C14=0,0,MIN(ROUNDUP(IF('Manual Data'!E13=1,IF(A14='Manual Data'!N13,ROUND(AA13*103%-0.01,0),AA13),'Manual Data'!E13),-1),NBPH1))</f>
        <v>37420</v>
      </c>
      <c r="AB14" s="17">
        <f>MIN(IF('Manual Data'!D13=1,IF(A14='Manual Data'!N13,AB13+'Manual Data'!O13,AB13),'Manual Data'!D13),OBPH1)</f>
        <v>16150</v>
      </c>
      <c r="AC14" s="16"/>
      <c r="AD14" s="16"/>
      <c r="AE14" s="16"/>
      <c r="AF14" s="16"/>
      <c r="AH14" s="13" t="s">
        <v>59</v>
      </c>
      <c r="AI14" s="13" t="s">
        <v>49</v>
      </c>
      <c r="AJ14" s="13" t="s">
        <v>69</v>
      </c>
      <c r="AK14" s="13">
        <v>17500</v>
      </c>
      <c r="AL14" s="13">
        <v>22300</v>
      </c>
      <c r="AM14" s="13">
        <v>400</v>
      </c>
      <c r="AN14" s="13" t="s">
        <v>80</v>
      </c>
      <c r="AO14" s="13">
        <v>36600</v>
      </c>
      <c r="AP14" s="13">
        <v>62000</v>
      </c>
      <c r="AQ14" s="13">
        <v>6</v>
      </c>
      <c r="AR14" s="13">
        <f t="shared" si="15"/>
        <v>29760</v>
      </c>
      <c r="AS14" s="13" t="s">
        <v>91</v>
      </c>
    </row>
    <row r="15" spans="1:45" s="13" customFormat="1" ht="12">
      <c r="A15" s="31" t="s">
        <v>19</v>
      </c>
      <c r="B15" s="32" t="s">
        <v>22</v>
      </c>
      <c r="C15" s="24">
        <f t="shared" si="2"/>
        <v>16500</v>
      </c>
      <c r="D15" s="33">
        <f t="shared" si="3"/>
        <v>8250</v>
      </c>
      <c r="E15" s="33">
        <f>ROUND((C15+D15)*21.1%,0)</f>
        <v>5222</v>
      </c>
      <c r="F15" s="33">
        <f>IF($E$5="No",ROUND((C15+D15)*IF('Manual Data'!F14=1%,$K$4,'Manual Data'!F14),0),0)</f>
        <v>3713</v>
      </c>
      <c r="G15" s="33">
        <f>IF(C16=0,0,IF($L$5="Yes",IF('Manual Data'!G14=1,IF(OR($K$5="A",$K$5="A-1"),IF(OR($G$2="E1A",$G$2="E2A"),800,1400),IF(NOT(OR($G$2="E1A",$G$2="E2A")),800,500)),'Manual Data'!G14),0))</f>
        <v>1400</v>
      </c>
      <c r="H15" s="33">
        <f t="shared" si="4"/>
        <v>330</v>
      </c>
      <c r="I15" s="33">
        <f t="shared" si="5"/>
        <v>330</v>
      </c>
      <c r="J15" s="33">
        <f t="shared" si="14"/>
        <v>240</v>
      </c>
      <c r="K15" s="34">
        <f t="shared" si="6"/>
        <v>35985</v>
      </c>
      <c r="L15" s="24">
        <f t="shared" si="7"/>
        <v>36510</v>
      </c>
      <c r="M15" s="33">
        <f t="shared" si="8"/>
        <v>475</v>
      </c>
      <c r="N15" s="33">
        <f t="shared" si="9"/>
        <v>3713</v>
      </c>
      <c r="O15" s="33">
        <f t="shared" si="9"/>
        <v>1400</v>
      </c>
      <c r="P15" s="33">
        <f t="shared" si="9"/>
        <v>330</v>
      </c>
      <c r="Q15" s="33">
        <f t="shared" si="9"/>
        <v>330</v>
      </c>
      <c r="R15" s="33">
        <f t="shared" si="9"/>
        <v>240</v>
      </c>
      <c r="S15" s="64">
        <f t="shared" si="10"/>
        <v>42998</v>
      </c>
      <c r="T15" s="35">
        <f t="shared" si="0"/>
        <v>7013</v>
      </c>
      <c r="U15" s="24">
        <f t="shared" si="11"/>
        <v>38550</v>
      </c>
      <c r="V15" s="33">
        <f t="shared" si="12"/>
        <v>501</v>
      </c>
      <c r="W15" s="64">
        <f t="shared" si="13"/>
        <v>45064</v>
      </c>
      <c r="X15" s="35">
        <f t="shared" si="1"/>
        <v>2066</v>
      </c>
      <c r="Y15" s="18">
        <v>1.3</v>
      </c>
      <c r="Z15" s="158">
        <f>IF(C15=0,0,MIN(ROUNDUP(IF('Manual Data'!E14=1,IF(A15='Manual Data'!N14,ROUND(Z14*103%-0.01,0),Z14),'Manual Data'!E14),-1),NBPH1))</f>
        <v>36510</v>
      </c>
      <c r="AA15" s="17">
        <f>IF(C15=0,0,MIN(ROUNDUP(IF('Manual Data'!E14=1,IF(A15='Manual Data'!N14,ROUND(AA14*103%-0.01,0),AA14),'Manual Data'!E14),-1),NBPH1))</f>
        <v>38550</v>
      </c>
      <c r="AB15" s="17">
        <f>MIN(IF('Manual Data'!D14=1,IF(A15='Manual Data'!N14,AB14+'Manual Data'!O14,AB14),'Manual Data'!D14),OBPH1)</f>
        <v>16500</v>
      </c>
      <c r="AC15" s="16"/>
      <c r="AD15" s="16"/>
      <c r="AE15" s="16"/>
      <c r="AF15" s="16"/>
      <c r="AH15" s="13" t="s">
        <v>60</v>
      </c>
      <c r="AI15" s="13" t="s">
        <v>50</v>
      </c>
      <c r="AJ15" s="13" t="s">
        <v>70</v>
      </c>
      <c r="AK15" s="13">
        <v>18500</v>
      </c>
      <c r="AL15" s="13">
        <v>23900</v>
      </c>
      <c r="AM15" s="13">
        <v>450</v>
      </c>
      <c r="AN15" s="13" t="s">
        <v>81</v>
      </c>
      <c r="AO15" s="13">
        <v>43200</v>
      </c>
      <c r="AP15" s="13">
        <v>66000</v>
      </c>
      <c r="AQ15" s="13">
        <v>7</v>
      </c>
      <c r="AR15" s="13">
        <f t="shared" si="15"/>
        <v>30660</v>
      </c>
      <c r="AS15" s="13" t="s">
        <v>92</v>
      </c>
    </row>
    <row r="16" spans="1:45" s="13" customFormat="1" ht="12">
      <c r="A16" s="31" t="s">
        <v>20</v>
      </c>
      <c r="B16" s="32" t="s">
        <v>22</v>
      </c>
      <c r="C16" s="24">
        <f t="shared" si="2"/>
        <v>16500</v>
      </c>
      <c r="D16" s="33">
        <f t="shared" si="3"/>
        <v>8250</v>
      </c>
      <c r="E16" s="33">
        <f>ROUND((C16+D16)*21.1%,0)</f>
        <v>5222</v>
      </c>
      <c r="F16" s="33">
        <f>IF($E$5="No",ROUND((C16+D16)*IF('Manual Data'!F15=1%,$K$4,'Manual Data'!F15),0),0)</f>
        <v>3713</v>
      </c>
      <c r="G16" s="33">
        <f>IF(C17=0,0,IF($L$5="Yes",IF('Manual Data'!G15=1,IF(OR($K$5="A",$K$5="A-1"),IF(OR($G$2="E1A",$G$2="E2A"),800,1400),IF(NOT(OR($G$2="E1A",$G$2="E2A")),800,500)),'Manual Data'!G15),0))</f>
        <v>1400</v>
      </c>
      <c r="H16" s="33">
        <f t="shared" si="4"/>
        <v>330</v>
      </c>
      <c r="I16" s="33">
        <f t="shared" si="5"/>
        <v>330</v>
      </c>
      <c r="J16" s="33">
        <f t="shared" si="14"/>
        <v>240</v>
      </c>
      <c r="K16" s="34">
        <f t="shared" si="6"/>
        <v>35985</v>
      </c>
      <c r="L16" s="24">
        <f t="shared" si="7"/>
        <v>36510</v>
      </c>
      <c r="M16" s="33">
        <f t="shared" si="8"/>
        <v>475</v>
      </c>
      <c r="N16" s="33">
        <f t="shared" si="9"/>
        <v>3713</v>
      </c>
      <c r="O16" s="33">
        <f t="shared" si="9"/>
        <v>1400</v>
      </c>
      <c r="P16" s="33">
        <f t="shared" si="9"/>
        <v>330</v>
      </c>
      <c r="Q16" s="33">
        <f t="shared" si="9"/>
        <v>330</v>
      </c>
      <c r="R16" s="33">
        <f t="shared" si="9"/>
        <v>240</v>
      </c>
      <c r="S16" s="64">
        <f t="shared" si="10"/>
        <v>42998</v>
      </c>
      <c r="T16" s="35">
        <f t="shared" si="0"/>
        <v>7013</v>
      </c>
      <c r="U16" s="24">
        <f t="shared" si="11"/>
        <v>38550</v>
      </c>
      <c r="V16" s="33">
        <f t="shared" si="12"/>
        <v>501</v>
      </c>
      <c r="W16" s="64">
        <f t="shared" si="13"/>
        <v>45064</v>
      </c>
      <c r="X16" s="35">
        <f t="shared" si="1"/>
        <v>2066</v>
      </c>
      <c r="Y16" s="18">
        <v>1.3</v>
      </c>
      <c r="Z16" s="158">
        <f>IF(C16=0,0,MIN(ROUNDUP(IF('Manual Data'!E15=1,IF(A16='Manual Data'!N15,ROUND(Z15*103%-0.01,0),Z15),'Manual Data'!E15),-1),NBPH1))</f>
        <v>36510</v>
      </c>
      <c r="AA16" s="17">
        <f>IF(C16=0,0,MIN(ROUNDUP(IF('Manual Data'!E15=1,IF(A16='Manual Data'!N15,ROUND(AA15*103%-0.01,0),AA15),'Manual Data'!E15),-1),NBPH1))</f>
        <v>38550</v>
      </c>
      <c r="AB16" s="17">
        <f>MIN(IF('Manual Data'!D15=1,IF(A16='Manual Data'!N15,AB15+'Manual Data'!O15,AB15),'Manual Data'!D15),OBPH1)</f>
        <v>16500</v>
      </c>
      <c r="AC16" s="16"/>
      <c r="AD16" s="16"/>
      <c r="AE16" s="16"/>
      <c r="AF16" s="16"/>
      <c r="AH16" s="13" t="s">
        <v>61</v>
      </c>
      <c r="AI16" s="13" t="s">
        <v>51</v>
      </c>
      <c r="AJ16" s="13" t="s">
        <v>71</v>
      </c>
      <c r="AK16" s="13">
        <v>23750</v>
      </c>
      <c r="AL16" s="13">
        <v>28550</v>
      </c>
      <c r="AM16" s="13">
        <v>600</v>
      </c>
      <c r="AN16" s="13" t="s">
        <v>82</v>
      </c>
      <c r="AO16" s="13">
        <v>62000</v>
      </c>
      <c r="AP16" s="13">
        <v>80000</v>
      </c>
      <c r="AQ16" s="13">
        <v>8</v>
      </c>
      <c r="AR16" s="13">
        <f t="shared" si="15"/>
        <v>31580</v>
      </c>
      <c r="AS16" s="13" t="s">
        <v>93</v>
      </c>
    </row>
    <row r="17" spans="1:45" s="13" customFormat="1" ht="12">
      <c r="A17" s="31" t="s">
        <v>21</v>
      </c>
      <c r="B17" s="32" t="s">
        <v>22</v>
      </c>
      <c r="C17" s="24">
        <f t="shared" si="2"/>
        <v>16500</v>
      </c>
      <c r="D17" s="33">
        <f t="shared" si="3"/>
        <v>8250</v>
      </c>
      <c r="E17" s="33">
        <f>ROUND((C17+D17)*21.1%,0)</f>
        <v>5222</v>
      </c>
      <c r="F17" s="33">
        <f>IF($E$5="No",ROUND((C17+D17)*IF('Manual Data'!F16=1%,$K$4,'Manual Data'!F16),0),0)</f>
        <v>3713</v>
      </c>
      <c r="G17" s="33">
        <f>IF(C18=0,0,IF($L$5="Yes",IF('Manual Data'!G16=1,IF(OR($K$5="A",$K$5="A-1"),IF(OR($G$2="E1A",$G$2="E2A"),800,1400),IF(NOT(OR($G$2="E1A",$G$2="E2A")),800,500)),'Manual Data'!G16),0))</f>
        <v>1400</v>
      </c>
      <c r="H17" s="33">
        <f t="shared" si="4"/>
        <v>330</v>
      </c>
      <c r="I17" s="33">
        <f t="shared" si="5"/>
        <v>330</v>
      </c>
      <c r="J17" s="33">
        <f t="shared" si="14"/>
        <v>240</v>
      </c>
      <c r="K17" s="34">
        <f t="shared" si="6"/>
        <v>35985</v>
      </c>
      <c r="L17" s="24">
        <f t="shared" si="7"/>
        <v>36510</v>
      </c>
      <c r="M17" s="33">
        <f t="shared" si="8"/>
        <v>475</v>
      </c>
      <c r="N17" s="33">
        <f t="shared" si="9"/>
        <v>3713</v>
      </c>
      <c r="O17" s="33">
        <f t="shared" si="9"/>
        <v>1400</v>
      </c>
      <c r="P17" s="33">
        <f t="shared" si="9"/>
        <v>330</v>
      </c>
      <c r="Q17" s="33">
        <f t="shared" si="9"/>
        <v>330</v>
      </c>
      <c r="R17" s="33">
        <f t="shared" si="9"/>
        <v>240</v>
      </c>
      <c r="S17" s="64">
        <f t="shared" si="10"/>
        <v>42998</v>
      </c>
      <c r="T17" s="35">
        <f t="shared" si="0"/>
        <v>7013</v>
      </c>
      <c r="U17" s="24">
        <f t="shared" si="11"/>
        <v>38550</v>
      </c>
      <c r="V17" s="33">
        <f t="shared" si="12"/>
        <v>501</v>
      </c>
      <c r="W17" s="64">
        <f t="shared" si="13"/>
        <v>45064</v>
      </c>
      <c r="X17" s="35">
        <f t="shared" si="1"/>
        <v>2066</v>
      </c>
      <c r="Y17" s="18">
        <v>1.3</v>
      </c>
      <c r="Z17" s="158">
        <f>IF(C17=0,0,MIN(ROUNDUP(IF('Manual Data'!E16=1,IF(A17='Manual Data'!N16,ROUND(Z16*103%-0.01,0),Z16),'Manual Data'!E16),-1),NBPH1))</f>
        <v>36510</v>
      </c>
      <c r="AA17" s="17">
        <f>IF(C17=0,0,MIN(ROUNDUP(IF('Manual Data'!E16=1,IF(A17='Manual Data'!N16,ROUND(AA16*103%-0.01,0),AA16),'Manual Data'!E16),-1),NBPH1))</f>
        <v>38550</v>
      </c>
      <c r="AB17" s="17">
        <f>MIN(IF('Manual Data'!D16=1,IF(A17='Manual Data'!N16,AB16+'Manual Data'!O16,AB16),'Manual Data'!D16),OBPH1)</f>
        <v>16500</v>
      </c>
      <c r="AC17" s="16"/>
      <c r="AD17" s="16"/>
      <c r="AE17" s="16"/>
      <c r="AF17" s="16"/>
      <c r="AH17" s="13" t="s">
        <v>62</v>
      </c>
      <c r="AI17" s="13" t="s">
        <v>52</v>
      </c>
      <c r="AJ17" s="13" t="s">
        <v>72</v>
      </c>
      <c r="AK17" s="13">
        <v>25000</v>
      </c>
      <c r="AL17" s="13">
        <v>30200</v>
      </c>
      <c r="AM17" s="13">
        <v>650</v>
      </c>
      <c r="AN17" s="13" t="s">
        <v>83</v>
      </c>
      <c r="AO17" s="13">
        <v>62000</v>
      </c>
      <c r="AP17" s="13">
        <v>80000</v>
      </c>
      <c r="AQ17" s="13">
        <v>9</v>
      </c>
      <c r="AR17" s="13">
        <f t="shared" si="15"/>
        <v>32530</v>
      </c>
      <c r="AS17" s="13" t="s">
        <v>94</v>
      </c>
    </row>
    <row r="18" spans="1:45" s="13" customFormat="1" ht="12">
      <c r="A18" s="31" t="s">
        <v>1</v>
      </c>
      <c r="B18" s="32" t="s">
        <v>22</v>
      </c>
      <c r="C18" s="24">
        <f t="shared" si="2"/>
        <v>16500</v>
      </c>
      <c r="D18" s="33">
        <f t="shared" si="3"/>
        <v>8250</v>
      </c>
      <c r="E18" s="33">
        <f>ROUND((C18+D18)*26%,0)</f>
        <v>6435</v>
      </c>
      <c r="F18" s="33">
        <f>IF($E$5="No",ROUND((C18+D18)*IF('Manual Data'!F17=1%,$K$4,'Manual Data'!F17),0),0)</f>
        <v>3713</v>
      </c>
      <c r="G18" s="33">
        <f>IF(C19=0,0,IF($L$5="Yes",IF('Manual Data'!G17=1,IF(OR($K$5="A",$K$5="A-1"),IF(OR($G$2="E1A",$G$2="E2A"),800,1400),IF(NOT(OR($G$2="E1A",$G$2="E2A")),800,500)),'Manual Data'!G17),0))</f>
        <v>1400</v>
      </c>
      <c r="H18" s="33">
        <f t="shared" si="4"/>
        <v>330</v>
      </c>
      <c r="I18" s="33">
        <f t="shared" si="5"/>
        <v>330</v>
      </c>
      <c r="J18" s="33">
        <f t="shared" si="14"/>
        <v>240</v>
      </c>
      <c r="K18" s="34">
        <f t="shared" si="6"/>
        <v>37198</v>
      </c>
      <c r="L18" s="24">
        <f t="shared" si="7"/>
        <v>36510</v>
      </c>
      <c r="M18" s="33">
        <f t="shared" si="8"/>
        <v>1533</v>
      </c>
      <c r="N18" s="33">
        <f t="shared" si="9"/>
        <v>3713</v>
      </c>
      <c r="O18" s="33">
        <f t="shared" si="9"/>
        <v>1400</v>
      </c>
      <c r="P18" s="33">
        <f t="shared" si="9"/>
        <v>330</v>
      </c>
      <c r="Q18" s="33">
        <f t="shared" si="9"/>
        <v>330</v>
      </c>
      <c r="R18" s="33">
        <f t="shared" si="9"/>
        <v>240</v>
      </c>
      <c r="S18" s="64">
        <f t="shared" si="10"/>
        <v>44056</v>
      </c>
      <c r="T18" s="35">
        <f t="shared" si="0"/>
        <v>6858</v>
      </c>
      <c r="U18" s="24">
        <f t="shared" si="11"/>
        <v>38550</v>
      </c>
      <c r="V18" s="33">
        <f t="shared" si="12"/>
        <v>1619</v>
      </c>
      <c r="W18" s="64">
        <f t="shared" si="13"/>
        <v>46182</v>
      </c>
      <c r="X18" s="35">
        <f t="shared" si="1"/>
        <v>2126</v>
      </c>
      <c r="Y18" s="18">
        <v>4.2</v>
      </c>
      <c r="Z18" s="158">
        <f>IF(C18=0,0,MIN(ROUNDUP(IF('Manual Data'!E17=1,IF(A18='Manual Data'!N17,ROUND(Z17*103%-0.01,0),Z17),'Manual Data'!E17),-1),NBPH1))</f>
        <v>36510</v>
      </c>
      <c r="AA18" s="17">
        <f>IF(C18=0,0,MIN(ROUNDUP(IF('Manual Data'!E17=1,IF(A18='Manual Data'!N17,ROUND(AA17*103%-0.01,0),AA17),'Manual Data'!E17),-1),NBPH1))</f>
        <v>38550</v>
      </c>
      <c r="AB18" s="17">
        <f>MIN(IF('Manual Data'!D17=1,IF(A18='Manual Data'!N17,AB17+'Manual Data'!O17,AB17),'Manual Data'!D17),OBPH1)</f>
        <v>16500</v>
      </c>
      <c r="AC18" s="16"/>
      <c r="AD18" s="16"/>
      <c r="AE18" s="16"/>
      <c r="AF18" s="16"/>
      <c r="AH18" s="13" t="s">
        <v>63</v>
      </c>
      <c r="AI18" s="13" t="s">
        <v>54</v>
      </c>
      <c r="AJ18" s="13" t="s">
        <v>73</v>
      </c>
      <c r="AK18" s="13">
        <v>25750</v>
      </c>
      <c r="AL18" s="13">
        <v>30950</v>
      </c>
      <c r="AM18" s="13">
        <v>650</v>
      </c>
      <c r="AN18" s="13" t="s">
        <v>84</v>
      </c>
      <c r="AO18" s="13">
        <v>75000</v>
      </c>
      <c r="AP18" s="13">
        <v>100000</v>
      </c>
      <c r="AQ18" s="13">
        <v>10</v>
      </c>
      <c r="AR18" s="13">
        <f t="shared" si="15"/>
        <v>33510</v>
      </c>
      <c r="AS18" s="13" t="s">
        <v>95</v>
      </c>
    </row>
    <row r="19" spans="1:45" s="13" customFormat="1" ht="12">
      <c r="A19" s="31" t="s">
        <v>11</v>
      </c>
      <c r="B19" s="32" t="s">
        <v>22</v>
      </c>
      <c r="C19" s="24">
        <f t="shared" si="2"/>
        <v>16500</v>
      </c>
      <c r="D19" s="33">
        <f t="shared" si="3"/>
        <v>8250</v>
      </c>
      <c r="E19" s="33">
        <f>ROUND((C19+D19)*26%,0)</f>
        <v>6435</v>
      </c>
      <c r="F19" s="33">
        <f>IF($E$5="No",ROUND((C19+D19)*IF('Manual Data'!F18=1%,$K$4,'Manual Data'!F18),0),0)</f>
        <v>3713</v>
      </c>
      <c r="G19" s="33">
        <f>IF(C20=0,0,IF($L$5="Yes",IF('Manual Data'!G18=1,IF(OR($K$5="A",$K$5="A-1"),IF(OR($G$2="E1A",$G$2="E2A"),800,1400),IF(NOT(OR($G$2="E1A",$G$2="E2A")),800,500)),'Manual Data'!G18),0))</f>
        <v>1400</v>
      </c>
      <c r="H19" s="33">
        <f t="shared" si="4"/>
        <v>330</v>
      </c>
      <c r="I19" s="33">
        <f t="shared" si="5"/>
        <v>330</v>
      </c>
      <c r="J19" s="33">
        <f t="shared" si="14"/>
        <v>240</v>
      </c>
      <c r="K19" s="34">
        <f t="shared" si="6"/>
        <v>37198</v>
      </c>
      <c r="L19" s="24">
        <f t="shared" si="7"/>
        <v>36510</v>
      </c>
      <c r="M19" s="33">
        <f t="shared" si="8"/>
        <v>1533</v>
      </c>
      <c r="N19" s="33">
        <f t="shared" si="9"/>
        <v>3713</v>
      </c>
      <c r="O19" s="33">
        <f t="shared" si="9"/>
        <v>1400</v>
      </c>
      <c r="P19" s="33">
        <f t="shared" si="9"/>
        <v>330</v>
      </c>
      <c r="Q19" s="33">
        <f t="shared" si="9"/>
        <v>330</v>
      </c>
      <c r="R19" s="33">
        <f t="shared" si="9"/>
        <v>240</v>
      </c>
      <c r="S19" s="64">
        <f t="shared" si="10"/>
        <v>44056</v>
      </c>
      <c r="T19" s="35">
        <f t="shared" si="0"/>
        <v>6858</v>
      </c>
      <c r="U19" s="24">
        <f t="shared" si="11"/>
        <v>38550</v>
      </c>
      <c r="V19" s="33">
        <f t="shared" si="12"/>
        <v>1619</v>
      </c>
      <c r="W19" s="64">
        <f t="shared" si="13"/>
        <v>46182</v>
      </c>
      <c r="X19" s="35">
        <f t="shared" si="1"/>
        <v>2126</v>
      </c>
      <c r="Y19" s="18">
        <v>4.2</v>
      </c>
      <c r="Z19" s="158">
        <f>IF(C19=0,0,MIN(ROUNDUP(IF('Manual Data'!E18=1,IF(A19='Manual Data'!N18,ROUND(Z18*103%-0.01,0),Z18),'Manual Data'!E18),-1),NBPH1))</f>
        <v>36510</v>
      </c>
      <c r="AA19" s="17">
        <f>IF(C19=0,0,MIN(ROUNDUP(IF('Manual Data'!E18=1,IF(A19='Manual Data'!N18,ROUND(AA18*103%-0.01,0),AA18),'Manual Data'!E18),-1),NBPH1))</f>
        <v>38550</v>
      </c>
      <c r="AB19" s="17">
        <f>MIN(IF('Manual Data'!D18=1,IF(A19='Manual Data'!N18,AB18+'Manual Data'!O18,AB18),'Manual Data'!D18),OBPH1)</f>
        <v>16500</v>
      </c>
      <c r="AC19" s="16"/>
      <c r="AD19" s="16"/>
      <c r="AE19" s="16"/>
      <c r="AF19" s="16"/>
      <c r="AH19" s="13" t="s">
        <v>53</v>
      </c>
      <c r="AI19" s="13" t="s">
        <v>53</v>
      </c>
      <c r="AJ19" s="13" t="s">
        <v>74</v>
      </c>
      <c r="AK19" s="13">
        <v>27750</v>
      </c>
      <c r="AL19" s="13">
        <v>31500</v>
      </c>
      <c r="AM19" s="13">
        <v>750</v>
      </c>
      <c r="AN19" s="13" t="s">
        <v>85</v>
      </c>
      <c r="AO19" s="13">
        <v>80000</v>
      </c>
      <c r="AP19" s="13">
        <v>125000</v>
      </c>
      <c r="AQ19" s="13">
        <v>11</v>
      </c>
      <c r="AR19" s="13">
        <f t="shared" si="15"/>
        <v>34520</v>
      </c>
      <c r="AS19" s="13" t="s">
        <v>96</v>
      </c>
    </row>
    <row r="20" spans="1:44" s="13" customFormat="1" ht="12">
      <c r="A20" s="31" t="s">
        <v>12</v>
      </c>
      <c r="B20" s="32" t="s">
        <v>22</v>
      </c>
      <c r="C20" s="24">
        <f t="shared" si="2"/>
        <v>16500</v>
      </c>
      <c r="D20" s="33">
        <f t="shared" si="3"/>
        <v>8250</v>
      </c>
      <c r="E20" s="33">
        <f>ROUND((C20+D20)*26%,0)</f>
        <v>6435</v>
      </c>
      <c r="F20" s="33">
        <f>IF($E$5="No",ROUND((C20+D20)*IF('Manual Data'!F19=1%,$K$4,'Manual Data'!F19),0),0)</f>
        <v>3713</v>
      </c>
      <c r="G20" s="33">
        <f>IF(C21=0,0,IF($L$5="Yes",IF('Manual Data'!G19=1,IF(OR($K$5="A",$K$5="A-1"),IF(OR($G$2="E1A",$G$2="E2A"),800,1400),IF(NOT(OR($G$2="E1A",$G$2="E2A")),800,500)),'Manual Data'!G19),0))</f>
        <v>1400</v>
      </c>
      <c r="H20" s="33">
        <f t="shared" si="4"/>
        <v>330</v>
      </c>
      <c r="I20" s="33">
        <f t="shared" si="5"/>
        <v>330</v>
      </c>
      <c r="J20" s="33">
        <f t="shared" si="14"/>
        <v>240</v>
      </c>
      <c r="K20" s="34">
        <f t="shared" si="6"/>
        <v>37198</v>
      </c>
      <c r="L20" s="24">
        <f t="shared" si="7"/>
        <v>36510</v>
      </c>
      <c r="M20" s="33">
        <f t="shared" si="8"/>
        <v>1533</v>
      </c>
      <c r="N20" s="33">
        <f t="shared" si="9"/>
        <v>3713</v>
      </c>
      <c r="O20" s="33">
        <f t="shared" si="9"/>
        <v>1400</v>
      </c>
      <c r="P20" s="33">
        <f t="shared" si="9"/>
        <v>330</v>
      </c>
      <c r="Q20" s="33">
        <f t="shared" si="9"/>
        <v>330</v>
      </c>
      <c r="R20" s="33">
        <f t="shared" si="9"/>
        <v>240</v>
      </c>
      <c r="S20" s="64">
        <f t="shared" si="10"/>
        <v>44056</v>
      </c>
      <c r="T20" s="35">
        <f t="shared" si="0"/>
        <v>6858</v>
      </c>
      <c r="U20" s="24">
        <f t="shared" si="11"/>
        <v>38550</v>
      </c>
      <c r="V20" s="33">
        <f t="shared" si="12"/>
        <v>1619</v>
      </c>
      <c r="W20" s="64">
        <f t="shared" si="13"/>
        <v>46182</v>
      </c>
      <c r="X20" s="35">
        <f t="shared" si="1"/>
        <v>2126</v>
      </c>
      <c r="Y20" s="18">
        <v>4.2</v>
      </c>
      <c r="Z20" s="158">
        <f>IF(C20=0,0,MIN(ROUNDUP(IF('Manual Data'!E19=1,IF(A20='Manual Data'!N19,ROUND(Z19*103%-0.01,0),Z19),'Manual Data'!E19),-1),NBPH1))</f>
        <v>36510</v>
      </c>
      <c r="AA20" s="17">
        <f>IF(C20=0,0,MIN(ROUNDUP(IF('Manual Data'!E19=1,IF(A20='Manual Data'!N19,ROUND(AA19*103%-0.01,0),AA19),'Manual Data'!E19),-1),NBPH1))</f>
        <v>38550</v>
      </c>
      <c r="AB20" s="17">
        <f>MIN(IF('Manual Data'!D19=1,IF(A20='Manual Data'!N19,AB19+'Manual Data'!O19,AB19),'Manual Data'!D19),OBPH1)</f>
        <v>16500</v>
      </c>
      <c r="AC20" s="16"/>
      <c r="AD20" s="16"/>
      <c r="AE20" s="16"/>
      <c r="AF20" s="16"/>
      <c r="AQ20" s="13">
        <v>12</v>
      </c>
      <c r="AR20" s="13">
        <f t="shared" si="15"/>
        <v>35560</v>
      </c>
    </row>
    <row r="21" spans="1:44" s="13" customFormat="1" ht="12">
      <c r="A21" s="31" t="s">
        <v>13</v>
      </c>
      <c r="B21" s="32" t="s">
        <v>24</v>
      </c>
      <c r="C21" s="24">
        <f t="shared" si="2"/>
        <v>16500</v>
      </c>
      <c r="D21" s="33">
        <f>ROUNDUP(C21/2,0)</f>
        <v>8250</v>
      </c>
      <c r="E21" s="33">
        <f>ROUND((C21+D21)*28.6%,0)</f>
        <v>7079</v>
      </c>
      <c r="F21" s="33">
        <f>IF($E$5="No",ROUND((C21+D21)*IF('Manual Data'!F20=1%,$K$4,'Manual Data'!F20),0),0)</f>
        <v>3713</v>
      </c>
      <c r="G21" s="33">
        <f>IF(C22=0,0,IF($L$5="Yes",IF('Manual Data'!G20=1,IF(OR($K$5="A",$K$5="A-1"),IF(OR($G$2="E1A",$G$2="E2A"),800,1400),IF(NOT(OR($G$2="E1A",$G$2="E2A")),800,500)),'Manual Data'!G20),0))</f>
        <v>1400</v>
      </c>
      <c r="H21" s="33">
        <f t="shared" si="4"/>
        <v>330</v>
      </c>
      <c r="I21" s="33">
        <f t="shared" si="5"/>
        <v>330</v>
      </c>
      <c r="J21" s="33">
        <f t="shared" si="14"/>
        <v>240</v>
      </c>
      <c r="K21" s="34">
        <f t="shared" si="6"/>
        <v>37842</v>
      </c>
      <c r="L21" s="24">
        <f t="shared" si="7"/>
        <v>36510</v>
      </c>
      <c r="M21" s="33">
        <f t="shared" si="8"/>
        <v>2118</v>
      </c>
      <c r="N21" s="33">
        <f t="shared" si="9"/>
        <v>3713</v>
      </c>
      <c r="O21" s="33">
        <f t="shared" si="9"/>
        <v>1400</v>
      </c>
      <c r="P21" s="33">
        <f t="shared" si="9"/>
        <v>330</v>
      </c>
      <c r="Q21" s="33">
        <f t="shared" si="9"/>
        <v>330</v>
      </c>
      <c r="R21" s="33">
        <f t="shared" si="9"/>
        <v>240</v>
      </c>
      <c r="S21" s="64">
        <f t="shared" si="10"/>
        <v>44641</v>
      </c>
      <c r="T21" s="35">
        <f t="shared" si="0"/>
        <v>6799</v>
      </c>
      <c r="U21" s="24">
        <f t="shared" si="11"/>
        <v>38550</v>
      </c>
      <c r="V21" s="33">
        <f t="shared" si="12"/>
        <v>2236</v>
      </c>
      <c r="W21" s="64">
        <f t="shared" si="13"/>
        <v>46799</v>
      </c>
      <c r="X21" s="35">
        <f t="shared" si="1"/>
        <v>2158</v>
      </c>
      <c r="Y21" s="18">
        <v>5.8</v>
      </c>
      <c r="Z21" s="158">
        <f>IF(C21=0,0,MIN(ROUNDUP(IF('Manual Data'!E20=1,IF(A21='Manual Data'!N20,ROUND(Z20*103%-0.01,0),Z20),'Manual Data'!E20),-1),NBPH1))</f>
        <v>36510</v>
      </c>
      <c r="AA21" s="17">
        <f>IF(C21=0,0,MIN(ROUNDUP(IF('Manual Data'!E20=1,IF(A21='Manual Data'!N20,ROUND(AA20*103%-0.01,0),AA20),'Manual Data'!E20),-1),NBPH1))</f>
        <v>38550</v>
      </c>
      <c r="AB21" s="17">
        <f>MIN(IF('Manual Data'!D20=1,IF(A21='Manual Data'!N20,AB20+'Manual Data'!O20,AB20),'Manual Data'!D20),OBPH1)</f>
        <v>16500</v>
      </c>
      <c r="AC21" s="16"/>
      <c r="AD21" s="16"/>
      <c r="AE21" s="16"/>
      <c r="AF21" s="16"/>
      <c r="AH21" s="13" t="str">
        <f>INDEX($AH$9:$AS$19,MATCH($E$2,$AH$9:$AH$19,0),12)</f>
        <v>RR3</v>
      </c>
      <c r="AQ21" s="13">
        <v>13</v>
      </c>
      <c r="AR21" s="13">
        <f t="shared" si="15"/>
        <v>36630</v>
      </c>
    </row>
    <row r="22" spans="1:44" s="13" customFormat="1" ht="12">
      <c r="A22" s="31" t="s">
        <v>14</v>
      </c>
      <c r="B22" s="32" t="s">
        <v>24</v>
      </c>
      <c r="C22" s="24">
        <f t="shared" si="2"/>
        <v>16500</v>
      </c>
      <c r="D22" s="33">
        <f t="shared" si="3"/>
        <v>8250</v>
      </c>
      <c r="E22" s="33">
        <f>ROUND((C22+D22)*28.6%,0)</f>
        <v>7079</v>
      </c>
      <c r="F22" s="33">
        <f>IF($E$5="No",ROUND((C22+D22)*IF('Manual Data'!F21=1%,$K$4,'Manual Data'!F21),0),0)</f>
        <v>3713</v>
      </c>
      <c r="G22" s="33">
        <f>IF(C23=0,0,IF($L$5="Yes",IF('Manual Data'!G21=1,IF(OR($K$5="A",$K$5="A-1"),IF(OR($G$2="E1A",$G$2="E2A"),800,1400),IF(NOT(OR($G$2="E1A",$G$2="E2A")),800,500)),'Manual Data'!G21),0))</f>
        <v>1400</v>
      </c>
      <c r="H22" s="33">
        <f t="shared" si="4"/>
        <v>330</v>
      </c>
      <c r="I22" s="33">
        <f t="shared" si="5"/>
        <v>330</v>
      </c>
      <c r="J22" s="33">
        <f t="shared" si="14"/>
        <v>240</v>
      </c>
      <c r="K22" s="34">
        <f t="shared" si="6"/>
        <v>37842</v>
      </c>
      <c r="L22" s="24">
        <f t="shared" si="7"/>
        <v>36510</v>
      </c>
      <c r="M22" s="33">
        <f t="shared" si="8"/>
        <v>2118</v>
      </c>
      <c r="N22" s="33">
        <f t="shared" si="9"/>
        <v>3713</v>
      </c>
      <c r="O22" s="33">
        <f t="shared" si="9"/>
        <v>1400</v>
      </c>
      <c r="P22" s="33">
        <f t="shared" si="9"/>
        <v>330</v>
      </c>
      <c r="Q22" s="33">
        <f t="shared" si="9"/>
        <v>330</v>
      </c>
      <c r="R22" s="33">
        <f t="shared" si="9"/>
        <v>240</v>
      </c>
      <c r="S22" s="64">
        <f t="shared" si="10"/>
        <v>44641</v>
      </c>
      <c r="T22" s="35">
        <f t="shared" si="0"/>
        <v>6799</v>
      </c>
      <c r="U22" s="24">
        <f t="shared" si="11"/>
        <v>38550</v>
      </c>
      <c r="V22" s="33">
        <f t="shared" si="12"/>
        <v>2236</v>
      </c>
      <c r="W22" s="64">
        <f t="shared" si="13"/>
        <v>46799</v>
      </c>
      <c r="X22" s="35">
        <f t="shared" si="1"/>
        <v>2158</v>
      </c>
      <c r="Y22" s="18">
        <v>5.8</v>
      </c>
      <c r="Z22" s="158">
        <f>IF(C22=0,0,MIN(ROUNDUP(IF('Manual Data'!E21=1,IF(A22='Manual Data'!N21,ROUND(Z21*103%-0.01,0),Z21),'Manual Data'!E21),-1),NBPH1))</f>
        <v>36510</v>
      </c>
      <c r="AA22" s="17">
        <f>IF(C22=0,0,MIN(ROUNDUP(IF('Manual Data'!E21=1,IF(A22='Manual Data'!N21,ROUND(AA21*103%-0.01,0),AA21),'Manual Data'!E21),-1),NBPH1))</f>
        <v>38550</v>
      </c>
      <c r="AB22" s="17">
        <f>MIN(IF('Manual Data'!D21=1,IF(A22='Manual Data'!N21,AB21+'Manual Data'!O21,AB21),'Manual Data'!D21),OBPH1)</f>
        <v>16500</v>
      </c>
      <c r="AC22" s="16"/>
      <c r="AD22" s="16"/>
      <c r="AE22" s="16"/>
      <c r="AF22" s="16"/>
      <c r="AQ22" s="13">
        <v>14</v>
      </c>
      <c r="AR22" s="13">
        <f t="shared" si="15"/>
        <v>37730</v>
      </c>
    </row>
    <row r="23" spans="1:44" s="13" customFormat="1" ht="12">
      <c r="A23" s="31" t="s">
        <v>15</v>
      </c>
      <c r="B23" s="32" t="s">
        <v>24</v>
      </c>
      <c r="C23" s="24">
        <f t="shared" si="2"/>
        <v>16500</v>
      </c>
      <c r="D23" s="33">
        <f t="shared" si="3"/>
        <v>8250</v>
      </c>
      <c r="E23" s="33">
        <f>ROUND((C23+D23)*28.6%,0)</f>
        <v>7079</v>
      </c>
      <c r="F23" s="33">
        <f>IF($E$5="No",ROUND((C23+D23)*IF('Manual Data'!F22=1%,$K$4,'Manual Data'!F22),0),0)</f>
        <v>3713</v>
      </c>
      <c r="G23" s="33">
        <f>IF(C24=0,0,IF($L$5="Yes",IF('Manual Data'!G22=1,IF(OR($K$5="A",$K$5="A-1"),IF(OR($G$2="E1A",$G$2="E2A"),800,1400),IF(NOT(OR($G$2="E1A",$G$2="E2A")),800,500)),'Manual Data'!G22),0))</f>
        <v>1400</v>
      </c>
      <c r="H23" s="33">
        <f t="shared" si="4"/>
        <v>330</v>
      </c>
      <c r="I23" s="33">
        <f t="shared" si="5"/>
        <v>330</v>
      </c>
      <c r="J23" s="33">
        <f t="shared" si="14"/>
        <v>240</v>
      </c>
      <c r="K23" s="34">
        <f t="shared" si="6"/>
        <v>37842</v>
      </c>
      <c r="L23" s="24">
        <f t="shared" si="7"/>
        <v>36510</v>
      </c>
      <c r="M23" s="33">
        <f t="shared" si="8"/>
        <v>2118</v>
      </c>
      <c r="N23" s="33">
        <f t="shared" si="9"/>
        <v>3713</v>
      </c>
      <c r="O23" s="33">
        <f t="shared" si="9"/>
        <v>1400</v>
      </c>
      <c r="P23" s="33">
        <f t="shared" si="9"/>
        <v>330</v>
      </c>
      <c r="Q23" s="33">
        <f t="shared" si="9"/>
        <v>330</v>
      </c>
      <c r="R23" s="33">
        <f t="shared" si="9"/>
        <v>240</v>
      </c>
      <c r="S23" s="64">
        <f t="shared" si="10"/>
        <v>44641</v>
      </c>
      <c r="T23" s="35">
        <f t="shared" si="0"/>
        <v>6799</v>
      </c>
      <c r="U23" s="24">
        <f t="shared" si="11"/>
        <v>38550</v>
      </c>
      <c r="V23" s="33">
        <f t="shared" si="12"/>
        <v>2236</v>
      </c>
      <c r="W23" s="64">
        <f t="shared" si="13"/>
        <v>46799</v>
      </c>
      <c r="X23" s="35">
        <f t="shared" si="1"/>
        <v>2158</v>
      </c>
      <c r="Y23" s="18">
        <v>5.8</v>
      </c>
      <c r="Z23" s="158">
        <f>IF(C23=0,0,MIN(ROUNDUP(IF('Manual Data'!E22=1,IF(A23='Manual Data'!N22,ROUND(Z22*103%-0.01,0),Z22),'Manual Data'!E22),-1),NBPH1))</f>
        <v>36510</v>
      </c>
      <c r="AA23" s="17">
        <f>IF(C23=0,0,MIN(ROUNDUP(IF('Manual Data'!E22=1,IF(A23='Manual Data'!N22,ROUND(AA22*103%-0.01,0),AA22),'Manual Data'!E22),-1),NBPH1))</f>
        <v>38550</v>
      </c>
      <c r="AB23" s="17">
        <f>MIN(IF('Manual Data'!D22=1,IF(A23='Manual Data'!N22,AB22+'Manual Data'!O22,AB22),'Manual Data'!D22),OBPH1)</f>
        <v>16500</v>
      </c>
      <c r="AC23" s="16"/>
      <c r="AD23" s="16"/>
      <c r="AE23" s="16"/>
      <c r="AF23" s="16"/>
      <c r="AQ23" s="13">
        <v>15</v>
      </c>
      <c r="AR23" s="13">
        <f>ROUNDUP(AR22*103%,-1)</f>
        <v>38870</v>
      </c>
    </row>
    <row r="24" spans="1:44" s="13" customFormat="1" ht="12">
      <c r="A24" s="31" t="s">
        <v>16</v>
      </c>
      <c r="B24" s="32" t="s">
        <v>24</v>
      </c>
      <c r="C24" s="24">
        <f t="shared" si="2"/>
        <v>16500</v>
      </c>
      <c r="D24" s="33">
        <f t="shared" si="3"/>
        <v>8250</v>
      </c>
      <c r="E24" s="33">
        <f>ROUND((C24+D24)*29.4%,0)</f>
        <v>7277</v>
      </c>
      <c r="F24" s="33">
        <f>IF($E$5="No",ROUND((C24+D24)*IF('Manual Data'!F23=1%,$K$4,'Manual Data'!F23),0),0)</f>
        <v>3713</v>
      </c>
      <c r="G24" s="33">
        <f>IF(C25=0,0,IF($L$5="Yes",IF('Manual Data'!G23=1,IF(OR($K$5="A",$K$5="A-1"),IF(OR($G$2="E1A",$G$2="E2A"),800,1400),IF(NOT(OR($G$2="E1A",$G$2="E2A")),800,500)),'Manual Data'!G23),0))</f>
        <v>1400</v>
      </c>
      <c r="H24" s="33">
        <f t="shared" si="4"/>
        <v>330</v>
      </c>
      <c r="I24" s="33">
        <f t="shared" si="5"/>
        <v>330</v>
      </c>
      <c r="J24" s="33">
        <f t="shared" si="14"/>
        <v>240</v>
      </c>
      <c r="K24" s="34">
        <f t="shared" si="6"/>
        <v>38040</v>
      </c>
      <c r="L24" s="24">
        <f t="shared" si="7"/>
        <v>36510</v>
      </c>
      <c r="M24" s="33">
        <f t="shared" si="8"/>
        <v>2300</v>
      </c>
      <c r="N24" s="33">
        <f t="shared" si="9"/>
        <v>3713</v>
      </c>
      <c r="O24" s="33">
        <f t="shared" si="9"/>
        <v>1400</v>
      </c>
      <c r="P24" s="33">
        <f t="shared" si="9"/>
        <v>330</v>
      </c>
      <c r="Q24" s="33">
        <f t="shared" si="9"/>
        <v>330</v>
      </c>
      <c r="R24" s="33">
        <f t="shared" si="9"/>
        <v>240</v>
      </c>
      <c r="S24" s="64">
        <f t="shared" si="10"/>
        <v>44823</v>
      </c>
      <c r="T24" s="35">
        <f t="shared" si="0"/>
        <v>6783</v>
      </c>
      <c r="U24" s="24">
        <f t="shared" si="11"/>
        <v>38550</v>
      </c>
      <c r="V24" s="33">
        <f t="shared" si="12"/>
        <v>2429</v>
      </c>
      <c r="W24" s="64">
        <f t="shared" si="13"/>
        <v>46992</v>
      </c>
      <c r="X24" s="35">
        <f t="shared" si="1"/>
        <v>2169</v>
      </c>
      <c r="Y24" s="18">
        <v>6.3</v>
      </c>
      <c r="Z24" s="158">
        <f>IF(C24=0,0,MIN(ROUNDUP(IF('Manual Data'!E23=1,IF(A24='Manual Data'!N23,ROUND(Z23*103%-0.01,0),Z23),'Manual Data'!E23),-1),NBPH1))</f>
        <v>36510</v>
      </c>
      <c r="AA24" s="17">
        <f>IF(C24=0,0,MIN(ROUNDUP(IF('Manual Data'!E23=1,IF(A24='Manual Data'!N23,ROUND(AA23*103%-0.01,0),AA23),'Manual Data'!E23),-1),NBPH1))</f>
        <v>38550</v>
      </c>
      <c r="AB24" s="17">
        <f>MIN(IF('Manual Data'!D23=1,IF(A24='Manual Data'!N23,AB23+'Manual Data'!O23,AB23),'Manual Data'!D23),OBPH1)</f>
        <v>16500</v>
      </c>
      <c r="AC24" s="16"/>
      <c r="AD24" s="16"/>
      <c r="AE24" s="16"/>
      <c r="AF24" s="16"/>
      <c r="AQ24" s="13">
        <v>16</v>
      </c>
      <c r="AR24" s="13">
        <f t="shared" si="15"/>
        <v>40040</v>
      </c>
    </row>
    <row r="25" spans="1:44" s="13" customFormat="1" ht="12">
      <c r="A25" s="31" t="s">
        <v>17</v>
      </c>
      <c r="B25" s="32" t="s">
        <v>24</v>
      </c>
      <c r="C25" s="24">
        <f t="shared" si="2"/>
        <v>16500</v>
      </c>
      <c r="D25" s="33">
        <f t="shared" si="3"/>
        <v>8250</v>
      </c>
      <c r="E25" s="33">
        <f>ROUND((C25+D25)*29.4%,0)</f>
        <v>7277</v>
      </c>
      <c r="F25" s="33">
        <f>IF($E$5="No",ROUND((C25+D25)*IF('Manual Data'!F24=1%,$K$4,'Manual Data'!F24),0),0)</f>
        <v>3713</v>
      </c>
      <c r="G25" s="33">
        <f>IF(C26=0,0,IF($L$5="Yes",IF('Manual Data'!G24=1,IF(OR($K$5="A",$K$5="A-1"),IF(OR($G$2="E1A",$G$2="E2A"),800,1400),IF(NOT(OR($G$2="E1A",$G$2="E2A")),800,500)),'Manual Data'!G24),0))</f>
        <v>1400</v>
      </c>
      <c r="H25" s="33">
        <f t="shared" si="4"/>
        <v>330</v>
      </c>
      <c r="I25" s="33">
        <f t="shared" si="5"/>
        <v>330</v>
      </c>
      <c r="J25" s="33">
        <f t="shared" si="14"/>
        <v>240</v>
      </c>
      <c r="K25" s="34">
        <f t="shared" si="6"/>
        <v>38040</v>
      </c>
      <c r="L25" s="24">
        <f t="shared" si="7"/>
        <v>36510</v>
      </c>
      <c r="M25" s="33">
        <f t="shared" si="8"/>
        <v>2300</v>
      </c>
      <c r="N25" s="33">
        <f t="shared" si="9"/>
        <v>3713</v>
      </c>
      <c r="O25" s="33">
        <f t="shared" si="9"/>
        <v>1400</v>
      </c>
      <c r="P25" s="33">
        <f t="shared" si="9"/>
        <v>330</v>
      </c>
      <c r="Q25" s="33">
        <f t="shared" si="9"/>
        <v>330</v>
      </c>
      <c r="R25" s="33">
        <f t="shared" si="9"/>
        <v>240</v>
      </c>
      <c r="S25" s="64">
        <f t="shared" si="10"/>
        <v>44823</v>
      </c>
      <c r="T25" s="35">
        <f t="shared" si="0"/>
        <v>6783</v>
      </c>
      <c r="U25" s="24">
        <f t="shared" si="11"/>
        <v>38550</v>
      </c>
      <c r="V25" s="33">
        <f t="shared" si="12"/>
        <v>2429</v>
      </c>
      <c r="W25" s="64">
        <f t="shared" si="13"/>
        <v>46992</v>
      </c>
      <c r="X25" s="35">
        <f t="shared" si="1"/>
        <v>2169</v>
      </c>
      <c r="Y25" s="18">
        <v>6.3</v>
      </c>
      <c r="Z25" s="158">
        <f>IF(C25=0,0,MIN(ROUNDUP(IF('Manual Data'!E24=1,IF(A25='Manual Data'!N24,ROUND(Z24*103%-0.01,0),Z24),'Manual Data'!E24),-1),NBPH1))</f>
        <v>36510</v>
      </c>
      <c r="AA25" s="17">
        <f>IF(C25=0,0,MIN(ROUNDUP(IF('Manual Data'!E24=1,IF(A25='Manual Data'!N24,ROUND(AA24*103%-0.01,0),AA24),'Manual Data'!E24),-1),NBPH1))</f>
        <v>38550</v>
      </c>
      <c r="AB25" s="17">
        <f>MIN(IF('Manual Data'!D24=1,IF(A25='Manual Data'!N24,AB24+'Manual Data'!O24,AB24),'Manual Data'!D24),OBPH1)</f>
        <v>16500</v>
      </c>
      <c r="AC25" s="16"/>
      <c r="AD25" s="16"/>
      <c r="AE25" s="16"/>
      <c r="AF25" s="16"/>
      <c r="AQ25" s="13">
        <v>17</v>
      </c>
      <c r="AR25" s="13">
        <f t="shared" si="15"/>
        <v>41250</v>
      </c>
    </row>
    <row r="26" spans="1:44" s="13" customFormat="1" ht="12">
      <c r="A26" s="31" t="s">
        <v>18</v>
      </c>
      <c r="B26" s="32" t="s">
        <v>24</v>
      </c>
      <c r="C26" s="24">
        <f t="shared" si="2"/>
        <v>16500</v>
      </c>
      <c r="D26" s="33">
        <f t="shared" si="3"/>
        <v>8250</v>
      </c>
      <c r="E26" s="33">
        <f>ROUND((C26+D26)*29.4%,0)</f>
        <v>7277</v>
      </c>
      <c r="F26" s="33">
        <f>IF($E$5="No",ROUND((C26+D26)*IF('Manual Data'!F25=1%,$K$4,'Manual Data'!F25),0),0)</f>
        <v>3713</v>
      </c>
      <c r="G26" s="33">
        <f>IF(C27=0,0,IF($L$5="Yes",IF('Manual Data'!G25=1,IF(OR($K$5="A",$K$5="A-1"),IF(OR($G$2="E1A",$G$2="E2A"),800,1400),IF(NOT(OR($G$2="E1A",$G$2="E2A")),800,500)),'Manual Data'!G25),0))</f>
        <v>1400</v>
      </c>
      <c r="H26" s="33">
        <f t="shared" si="4"/>
        <v>330</v>
      </c>
      <c r="I26" s="33">
        <f t="shared" si="5"/>
        <v>330</v>
      </c>
      <c r="J26" s="33">
        <f t="shared" si="14"/>
        <v>240</v>
      </c>
      <c r="K26" s="34">
        <f t="shared" si="6"/>
        <v>38040</v>
      </c>
      <c r="L26" s="24">
        <f t="shared" si="7"/>
        <v>36510</v>
      </c>
      <c r="M26" s="33">
        <f t="shared" si="8"/>
        <v>2300</v>
      </c>
      <c r="N26" s="33">
        <f t="shared" si="9"/>
        <v>3713</v>
      </c>
      <c r="O26" s="33">
        <f t="shared" si="9"/>
        <v>1400</v>
      </c>
      <c r="P26" s="33">
        <f t="shared" si="9"/>
        <v>330</v>
      </c>
      <c r="Q26" s="33">
        <f t="shared" si="9"/>
        <v>330</v>
      </c>
      <c r="R26" s="33">
        <f t="shared" si="9"/>
        <v>240</v>
      </c>
      <c r="S26" s="64">
        <f t="shared" si="10"/>
        <v>44823</v>
      </c>
      <c r="T26" s="35">
        <f t="shared" si="0"/>
        <v>6783</v>
      </c>
      <c r="U26" s="24">
        <f t="shared" si="11"/>
        <v>38550</v>
      </c>
      <c r="V26" s="33">
        <f t="shared" si="12"/>
        <v>2429</v>
      </c>
      <c r="W26" s="64">
        <f t="shared" si="13"/>
        <v>46992</v>
      </c>
      <c r="X26" s="35">
        <f t="shared" si="1"/>
        <v>2169</v>
      </c>
      <c r="Y26" s="18">
        <v>6.3</v>
      </c>
      <c r="Z26" s="158">
        <f>IF(C26=0,0,MIN(ROUNDUP(IF('Manual Data'!E25=1,IF(A26='Manual Data'!N25,ROUND(Z25*103%-0.01,0),Z25),'Manual Data'!E25),-1),NBPH1))</f>
        <v>36510</v>
      </c>
      <c r="AA26" s="17">
        <f>IF(C26=0,0,MIN(ROUNDUP(IF('Manual Data'!E25=1,IF(A26='Manual Data'!N25,ROUND(AA25*103%-0.01,0),AA25),'Manual Data'!E25),-1),NBPH1))</f>
        <v>38550</v>
      </c>
      <c r="AB26" s="17">
        <f>MIN(IF('Manual Data'!D25=1,IF(A26='Manual Data'!N25,AB25+'Manual Data'!O25,AB25),'Manual Data'!D25),OBPH1)</f>
        <v>16500</v>
      </c>
      <c r="AC26" s="16"/>
      <c r="AD26" s="16"/>
      <c r="AE26" s="16"/>
      <c r="AF26" s="16"/>
      <c r="AQ26" s="13">
        <v>18</v>
      </c>
      <c r="AR26" s="13">
        <f t="shared" si="15"/>
        <v>42490</v>
      </c>
    </row>
    <row r="27" spans="1:44" s="13" customFormat="1" ht="12">
      <c r="A27" s="31" t="s">
        <v>19</v>
      </c>
      <c r="B27" s="32" t="s">
        <v>24</v>
      </c>
      <c r="C27" s="24">
        <f t="shared" si="2"/>
        <v>16850</v>
      </c>
      <c r="D27" s="33">
        <f t="shared" si="3"/>
        <v>8425</v>
      </c>
      <c r="E27" s="33">
        <f>ROUND((C27+D27)*34.4%,0)</f>
        <v>8695</v>
      </c>
      <c r="F27" s="33">
        <f>IF($E$5="No",ROUND((C27+D27)*IF('Manual Data'!F26=1%,$K$4,'Manual Data'!F26),0),0)</f>
        <v>3791</v>
      </c>
      <c r="G27" s="33">
        <f>IF(C28=0,0,IF($L$5="Yes",IF('Manual Data'!G26=1,IF(OR($K$5="A",$K$5="A-1"),IF(OR($G$2="E1A",$G$2="E2A"),800,1400),IF(NOT(OR($G$2="E1A",$G$2="E2A")),800,500)),'Manual Data'!G26),0))</f>
        <v>1400</v>
      </c>
      <c r="H27" s="33">
        <f t="shared" si="4"/>
        <v>337</v>
      </c>
      <c r="I27" s="33">
        <f t="shared" si="5"/>
        <v>337</v>
      </c>
      <c r="J27" s="33">
        <f t="shared" si="14"/>
        <v>240</v>
      </c>
      <c r="K27" s="34">
        <f t="shared" si="6"/>
        <v>40075</v>
      </c>
      <c r="L27" s="24">
        <f t="shared" si="7"/>
        <v>37610</v>
      </c>
      <c r="M27" s="33">
        <f t="shared" si="8"/>
        <v>3460</v>
      </c>
      <c r="N27" s="33">
        <f t="shared" si="9"/>
        <v>3791</v>
      </c>
      <c r="O27" s="33">
        <f t="shared" si="9"/>
        <v>1400</v>
      </c>
      <c r="P27" s="33">
        <f t="shared" si="9"/>
        <v>337</v>
      </c>
      <c r="Q27" s="33">
        <f t="shared" si="9"/>
        <v>337</v>
      </c>
      <c r="R27" s="33">
        <f t="shared" si="9"/>
        <v>240</v>
      </c>
      <c r="S27" s="64">
        <f t="shared" si="10"/>
        <v>47175</v>
      </c>
      <c r="T27" s="35">
        <f t="shared" si="0"/>
        <v>7100</v>
      </c>
      <c r="U27" s="24">
        <f t="shared" si="11"/>
        <v>39710</v>
      </c>
      <c r="V27" s="33">
        <f t="shared" si="12"/>
        <v>3653</v>
      </c>
      <c r="W27" s="64">
        <f t="shared" si="13"/>
        <v>49468</v>
      </c>
      <c r="X27" s="35">
        <f t="shared" si="1"/>
        <v>2293</v>
      </c>
      <c r="Y27" s="18">
        <v>9.2</v>
      </c>
      <c r="Z27" s="158">
        <f>IF(C27=0,0,MIN(ROUNDUP(IF('Manual Data'!E26=1,IF(A27='Manual Data'!N26,ROUND(Z26*103%-0.01,0),Z26),'Manual Data'!E26),-1),NBPH1))</f>
        <v>37610</v>
      </c>
      <c r="AA27" s="17">
        <f>IF(C27=0,0,MIN(ROUNDUP(IF('Manual Data'!E26=1,IF(A27='Manual Data'!N26,ROUND(AA26*103%-0.01,0),AA26),'Manual Data'!E26),-1),NBPH1))</f>
        <v>39710</v>
      </c>
      <c r="AB27" s="17">
        <f>MIN(IF('Manual Data'!D26=1,IF(A27='Manual Data'!N26,AB26+'Manual Data'!O26,AB26),'Manual Data'!D26),OBPH1)</f>
        <v>16850</v>
      </c>
      <c r="AC27" s="16"/>
      <c r="AD27" s="16"/>
      <c r="AE27" s="16"/>
      <c r="AF27" s="16"/>
      <c r="AQ27" s="13">
        <v>19</v>
      </c>
      <c r="AR27" s="13">
        <f t="shared" si="15"/>
        <v>43770</v>
      </c>
    </row>
    <row r="28" spans="1:44" s="13" customFormat="1" ht="12">
      <c r="A28" s="31" t="s">
        <v>20</v>
      </c>
      <c r="B28" s="32" t="s">
        <v>24</v>
      </c>
      <c r="C28" s="24">
        <f t="shared" si="2"/>
        <v>16850</v>
      </c>
      <c r="D28" s="33">
        <f t="shared" si="3"/>
        <v>8425</v>
      </c>
      <c r="E28" s="33">
        <f>ROUND((C28+D28)*34.4%,0)</f>
        <v>8695</v>
      </c>
      <c r="F28" s="33">
        <f>IF($E$5="No",ROUND((C28+D28)*IF('Manual Data'!F27=1%,$K$4,'Manual Data'!F27),0),0)</f>
        <v>3791</v>
      </c>
      <c r="G28" s="33">
        <f>IF(C29=0,0,IF($L$5="Yes",IF('Manual Data'!G27=1,IF(OR($K$5="A",$K$5="A-1"),IF(OR($G$2="E1A",$G$2="E2A"),800,1400),IF(NOT(OR($G$2="E1A",$G$2="E2A")),800,500)),'Manual Data'!G27),0))</f>
        <v>1400</v>
      </c>
      <c r="H28" s="33">
        <f t="shared" si="4"/>
        <v>337</v>
      </c>
      <c r="I28" s="33">
        <f t="shared" si="5"/>
        <v>337</v>
      </c>
      <c r="J28" s="33">
        <f t="shared" si="14"/>
        <v>240</v>
      </c>
      <c r="K28" s="34">
        <f t="shared" si="6"/>
        <v>40075</v>
      </c>
      <c r="L28" s="24">
        <f t="shared" si="7"/>
        <v>37610</v>
      </c>
      <c r="M28" s="33">
        <f t="shared" si="8"/>
        <v>3460</v>
      </c>
      <c r="N28" s="33">
        <f t="shared" si="9"/>
        <v>3791</v>
      </c>
      <c r="O28" s="33">
        <f>G28</f>
        <v>1400</v>
      </c>
      <c r="P28" s="33">
        <f t="shared" si="9"/>
        <v>337</v>
      </c>
      <c r="Q28" s="33">
        <f t="shared" si="9"/>
        <v>337</v>
      </c>
      <c r="R28" s="33">
        <f t="shared" si="9"/>
        <v>240</v>
      </c>
      <c r="S28" s="64">
        <f t="shared" si="10"/>
        <v>47175</v>
      </c>
      <c r="T28" s="35">
        <f t="shared" si="0"/>
        <v>7100</v>
      </c>
      <c r="U28" s="24">
        <f t="shared" si="11"/>
        <v>39710</v>
      </c>
      <c r="V28" s="33">
        <f t="shared" si="12"/>
        <v>3653</v>
      </c>
      <c r="W28" s="64">
        <f t="shared" si="13"/>
        <v>49468</v>
      </c>
      <c r="X28" s="35">
        <f t="shared" si="1"/>
        <v>2293</v>
      </c>
      <c r="Y28" s="18">
        <v>9.2</v>
      </c>
      <c r="Z28" s="158">
        <f>IF(C28=0,0,MIN(ROUNDUP(IF('Manual Data'!E27=1,IF(A28='Manual Data'!N27,ROUND(Z27*103%-0.01,0),Z27),'Manual Data'!E27),-1),NBPH1))</f>
        <v>37610</v>
      </c>
      <c r="AA28" s="17">
        <f>IF(C28=0,0,MIN(ROUNDUP(IF('Manual Data'!E27=1,IF(A28='Manual Data'!N27,ROUND(AA27*103%-0.01,0),AA27),'Manual Data'!E27),-1),NBPH1))</f>
        <v>39710</v>
      </c>
      <c r="AB28" s="17">
        <f>MIN(IF('Manual Data'!D27=1,IF(A28='Manual Data'!N27,AB27+'Manual Data'!O27,AB27),'Manual Data'!D27),OBPH1)</f>
        <v>16850</v>
      </c>
      <c r="AC28" s="16"/>
      <c r="AD28" s="16"/>
      <c r="AE28" s="16"/>
      <c r="AF28" s="16"/>
      <c r="AQ28" s="13">
        <v>20</v>
      </c>
      <c r="AR28" s="13">
        <f t="shared" si="15"/>
        <v>45090</v>
      </c>
    </row>
    <row r="29" spans="1:44" s="13" customFormat="1" ht="12">
      <c r="A29" s="31" t="s">
        <v>21</v>
      </c>
      <c r="B29" s="32" t="s">
        <v>24</v>
      </c>
      <c r="C29" s="24">
        <f t="shared" si="2"/>
        <v>16850</v>
      </c>
      <c r="D29" s="33">
        <f t="shared" si="3"/>
        <v>8425</v>
      </c>
      <c r="E29" s="33">
        <f>ROUND((C29+D29)*34.4%,0)</f>
        <v>8695</v>
      </c>
      <c r="F29" s="33">
        <f>IF($E$5="No",ROUND((C29+D29)*IF('Manual Data'!F28=1%,$K$4,'Manual Data'!F28),0),0)</f>
        <v>3791</v>
      </c>
      <c r="G29" s="33">
        <f>IF(C30=0,0,IF($L$5="Yes",IF('Manual Data'!G28=1,IF(OR($K$5="A",$K$5="A-1"),IF(OR($G$2="E1A",$G$2="E2A"),800,1400),IF(NOT(OR($G$2="E1A",$G$2="E2A")),800,500)),'Manual Data'!G28),0))</f>
        <v>1400</v>
      </c>
      <c r="H29" s="33">
        <f t="shared" si="4"/>
        <v>337</v>
      </c>
      <c r="I29" s="33">
        <f t="shared" si="5"/>
        <v>337</v>
      </c>
      <c r="J29" s="33">
        <f t="shared" si="14"/>
        <v>240</v>
      </c>
      <c r="K29" s="34">
        <f t="shared" si="6"/>
        <v>40075</v>
      </c>
      <c r="L29" s="24">
        <f t="shared" si="7"/>
        <v>37610</v>
      </c>
      <c r="M29" s="33">
        <f t="shared" si="8"/>
        <v>3460</v>
      </c>
      <c r="N29" s="33">
        <f t="shared" si="9"/>
        <v>3791</v>
      </c>
      <c r="O29" s="33">
        <f t="shared" si="9"/>
        <v>1400</v>
      </c>
      <c r="P29" s="33">
        <f t="shared" si="9"/>
        <v>337</v>
      </c>
      <c r="Q29" s="33">
        <f t="shared" si="9"/>
        <v>337</v>
      </c>
      <c r="R29" s="33">
        <f t="shared" si="9"/>
        <v>240</v>
      </c>
      <c r="S29" s="64">
        <f t="shared" si="10"/>
        <v>47175</v>
      </c>
      <c r="T29" s="35">
        <f t="shared" si="0"/>
        <v>7100</v>
      </c>
      <c r="U29" s="24">
        <f t="shared" si="11"/>
        <v>39710</v>
      </c>
      <c r="V29" s="33">
        <f t="shared" si="12"/>
        <v>3653</v>
      </c>
      <c r="W29" s="64">
        <f t="shared" si="13"/>
        <v>49468</v>
      </c>
      <c r="X29" s="35">
        <f t="shared" si="1"/>
        <v>2293</v>
      </c>
      <c r="Y29" s="18">
        <v>9.2</v>
      </c>
      <c r="Z29" s="158">
        <f>IF(C29=0,0,MIN(ROUNDUP(IF('Manual Data'!E28=1,IF(A29='Manual Data'!N28,ROUND(Z28*103%-0.01,0),Z28),'Manual Data'!E28),-1),NBPH1))</f>
        <v>37610</v>
      </c>
      <c r="AA29" s="17">
        <f>IF(C29=0,0,MIN(ROUNDUP(IF('Manual Data'!E28=1,IF(A29='Manual Data'!N28,ROUND(AA28*103%-0.01,0),AA28),'Manual Data'!E28),-1),NBPH1))</f>
        <v>39710</v>
      </c>
      <c r="AB29" s="17">
        <f>MIN(IF('Manual Data'!D28=1,IF(A29='Manual Data'!N28,AB28+'Manual Data'!O28,AB28),'Manual Data'!D28),OBPH1)</f>
        <v>16850</v>
      </c>
      <c r="AC29" s="16"/>
      <c r="AD29" s="16"/>
      <c r="AE29" s="16"/>
      <c r="AF29" s="16"/>
      <c r="AQ29" s="13">
        <v>21</v>
      </c>
      <c r="AR29" s="13">
        <f t="shared" si="15"/>
        <v>46450</v>
      </c>
    </row>
    <row r="30" spans="1:44" s="13" customFormat="1" ht="12">
      <c r="A30" s="31" t="s">
        <v>1</v>
      </c>
      <c r="B30" s="32" t="s">
        <v>24</v>
      </c>
      <c r="C30" s="24">
        <f t="shared" si="2"/>
        <v>16850</v>
      </c>
      <c r="D30" s="33">
        <f t="shared" si="3"/>
        <v>8425</v>
      </c>
      <c r="E30" s="33">
        <f>ROUND((C30+D30)*40.6%,0)</f>
        <v>10262</v>
      </c>
      <c r="F30" s="33">
        <f>IF($E$5="No",ROUND((C30+D30)*IF('Manual Data'!F29=1%,$K$4,'Manual Data'!F29),0),0)</f>
        <v>3791</v>
      </c>
      <c r="G30" s="33">
        <f>IF(C31=0,0,IF($L$5="Yes",IF('Manual Data'!G29=1,IF(OR($K$5="A",$K$5="A-1"),IF(OR($G$2="E1A",$G$2="E2A"),800,1400),IF(NOT(OR($G$2="E1A",$G$2="E2A")),800,500)),'Manual Data'!G29),0))</f>
        <v>1400</v>
      </c>
      <c r="H30" s="33">
        <f t="shared" si="4"/>
        <v>337</v>
      </c>
      <c r="I30" s="33">
        <f t="shared" si="5"/>
        <v>337</v>
      </c>
      <c r="J30" s="33">
        <f t="shared" si="14"/>
        <v>240</v>
      </c>
      <c r="K30" s="34">
        <f t="shared" si="6"/>
        <v>41642</v>
      </c>
      <c r="L30" s="24">
        <f t="shared" si="7"/>
        <v>37610</v>
      </c>
      <c r="M30" s="33">
        <f t="shared" si="8"/>
        <v>4852</v>
      </c>
      <c r="N30" s="33">
        <f t="shared" si="9"/>
        <v>3791</v>
      </c>
      <c r="O30" s="33">
        <f t="shared" si="9"/>
        <v>1400</v>
      </c>
      <c r="P30" s="33">
        <f t="shared" si="9"/>
        <v>337</v>
      </c>
      <c r="Q30" s="33">
        <f t="shared" si="9"/>
        <v>337</v>
      </c>
      <c r="R30" s="33">
        <f t="shared" si="9"/>
        <v>240</v>
      </c>
      <c r="S30" s="64">
        <f t="shared" si="10"/>
        <v>48567</v>
      </c>
      <c r="T30" s="35">
        <f t="shared" si="0"/>
        <v>6925</v>
      </c>
      <c r="U30" s="24">
        <f t="shared" si="11"/>
        <v>39710</v>
      </c>
      <c r="V30" s="33">
        <f t="shared" si="12"/>
        <v>5123</v>
      </c>
      <c r="W30" s="64">
        <f t="shared" si="13"/>
        <v>50938</v>
      </c>
      <c r="X30" s="35">
        <f t="shared" si="1"/>
        <v>2371</v>
      </c>
      <c r="Y30" s="18">
        <v>12.9</v>
      </c>
      <c r="Z30" s="158">
        <f>IF(C30=0,0,MIN(ROUNDUP(IF('Manual Data'!E29=1,IF(A30='Manual Data'!N29,ROUND(Z29*103%-0.01,0),Z29),'Manual Data'!E29),-1),NBPH1))</f>
        <v>37610</v>
      </c>
      <c r="AA30" s="17">
        <f>IF(C30=0,0,MIN(ROUNDUP(IF('Manual Data'!E29=1,IF(A30='Manual Data'!N29,ROUND(AA29*103%-0.01,0),AA29),'Manual Data'!E29),-1),NBPH1))</f>
        <v>39710</v>
      </c>
      <c r="AB30" s="17">
        <f>MIN(IF('Manual Data'!D29=1,IF(A30='Manual Data'!N29,AB29+'Manual Data'!O29,AB29),'Manual Data'!D29),OBPH1)</f>
        <v>16850</v>
      </c>
      <c r="AC30" s="16"/>
      <c r="AD30" s="16"/>
      <c r="AE30" s="16"/>
      <c r="AF30" s="16"/>
      <c r="AQ30" s="13">
        <v>22</v>
      </c>
      <c r="AR30" s="13">
        <f t="shared" si="15"/>
        <v>47850</v>
      </c>
    </row>
    <row r="31" spans="1:44" s="13" customFormat="1" ht="12">
      <c r="A31" s="31" t="s">
        <v>11</v>
      </c>
      <c r="B31" s="32" t="s">
        <v>24</v>
      </c>
      <c r="C31" s="24">
        <f t="shared" si="2"/>
        <v>16850</v>
      </c>
      <c r="D31" s="33">
        <f t="shared" si="3"/>
        <v>8425</v>
      </c>
      <c r="E31" s="33">
        <f>ROUND((C31+D31)*40.6%,0)</f>
        <v>10262</v>
      </c>
      <c r="F31" s="33">
        <f>IF($E$5="No",ROUND((C31+D31)*IF('Manual Data'!F30=1%,$K$4,'Manual Data'!F30),0),0)</f>
        <v>3791</v>
      </c>
      <c r="G31" s="33">
        <f>IF(C32=0,0,IF($L$5="Yes",IF('Manual Data'!G30=1,IF(OR($K$5="A",$K$5="A-1"),IF(OR($G$2="E1A",$G$2="E2A"),800,1400),IF(NOT(OR($G$2="E1A",$G$2="E2A")),800,500)),'Manual Data'!G30),0))</f>
        <v>1400</v>
      </c>
      <c r="H31" s="33">
        <f t="shared" si="4"/>
        <v>337</v>
      </c>
      <c r="I31" s="33">
        <f t="shared" si="5"/>
        <v>337</v>
      </c>
      <c r="J31" s="33">
        <f t="shared" si="14"/>
        <v>240</v>
      </c>
      <c r="K31" s="34">
        <f t="shared" si="6"/>
        <v>41642</v>
      </c>
      <c r="L31" s="24">
        <f t="shared" si="7"/>
        <v>37610</v>
      </c>
      <c r="M31" s="33">
        <f t="shared" si="8"/>
        <v>4852</v>
      </c>
      <c r="N31" s="33">
        <f t="shared" si="9"/>
        <v>3791</v>
      </c>
      <c r="O31" s="33">
        <f t="shared" si="9"/>
        <v>1400</v>
      </c>
      <c r="P31" s="33">
        <f t="shared" si="9"/>
        <v>337</v>
      </c>
      <c r="Q31" s="33">
        <f t="shared" si="9"/>
        <v>337</v>
      </c>
      <c r="R31" s="33">
        <f t="shared" si="9"/>
        <v>240</v>
      </c>
      <c r="S31" s="64">
        <f t="shared" si="10"/>
        <v>48567</v>
      </c>
      <c r="T31" s="35">
        <f t="shared" si="0"/>
        <v>6925</v>
      </c>
      <c r="U31" s="24">
        <f t="shared" si="11"/>
        <v>39710</v>
      </c>
      <c r="V31" s="33">
        <f t="shared" si="12"/>
        <v>5123</v>
      </c>
      <c r="W31" s="64">
        <f t="shared" si="13"/>
        <v>50938</v>
      </c>
      <c r="X31" s="35">
        <f t="shared" si="1"/>
        <v>2371</v>
      </c>
      <c r="Y31" s="18">
        <v>12.9</v>
      </c>
      <c r="Z31" s="158">
        <f>IF(C31=0,0,MIN(ROUNDUP(IF('Manual Data'!E30=1,IF(A31='Manual Data'!N30,ROUND(Z30*103%-0.01,0),Z30),'Manual Data'!E30),-1),NBPH1))</f>
        <v>37610</v>
      </c>
      <c r="AA31" s="17">
        <f>IF(C31=0,0,MIN(ROUNDUP(IF('Manual Data'!E30=1,IF(A31='Manual Data'!N30,ROUND(AA30*103%-0.01,0),AA30),'Manual Data'!E30),-1),NBPH1))</f>
        <v>39710</v>
      </c>
      <c r="AB31" s="17">
        <f>MIN(IF('Manual Data'!D30=1,IF(A31='Manual Data'!N30,AB30+'Manual Data'!O30,AB30),'Manual Data'!D30),OBPH1)</f>
        <v>16850</v>
      </c>
      <c r="AC31" s="16"/>
      <c r="AD31" s="16"/>
      <c r="AE31" s="16"/>
      <c r="AF31" s="16"/>
      <c r="AQ31" s="13">
        <v>23</v>
      </c>
      <c r="AR31" s="13">
        <f t="shared" si="15"/>
        <v>49290</v>
      </c>
    </row>
    <row r="32" spans="1:44" s="13" customFormat="1" ht="12">
      <c r="A32" s="31" t="s">
        <v>12</v>
      </c>
      <c r="B32" s="32" t="s">
        <v>24</v>
      </c>
      <c r="C32" s="24">
        <f t="shared" si="2"/>
        <v>16850</v>
      </c>
      <c r="D32" s="33">
        <f t="shared" si="3"/>
        <v>8425</v>
      </c>
      <c r="E32" s="33">
        <f>ROUND((C32+D32)*40.6%,0)</f>
        <v>10262</v>
      </c>
      <c r="F32" s="33">
        <f>IF($E$5="No",ROUND((C32+D32)*IF('Manual Data'!F31=1%,$K$4,'Manual Data'!F31),0),0)</f>
        <v>3791</v>
      </c>
      <c r="G32" s="33">
        <f>IF(C33=0,0,IF($L$5="Yes",IF('Manual Data'!G31=1,IF(OR($K$5="A",$K$5="A-1"),IF(OR($G$2="E1A",$G$2="E2A"),800,1400),IF(NOT(OR($G$2="E1A",$G$2="E2A")),800,500)),'Manual Data'!G31),0))</f>
        <v>1400</v>
      </c>
      <c r="H32" s="33">
        <f t="shared" si="4"/>
        <v>337</v>
      </c>
      <c r="I32" s="33">
        <f t="shared" si="5"/>
        <v>337</v>
      </c>
      <c r="J32" s="33">
        <f t="shared" si="14"/>
        <v>240</v>
      </c>
      <c r="K32" s="34">
        <f t="shared" si="6"/>
        <v>41642</v>
      </c>
      <c r="L32" s="24">
        <f t="shared" si="7"/>
        <v>37610</v>
      </c>
      <c r="M32" s="33">
        <f t="shared" si="8"/>
        <v>4852</v>
      </c>
      <c r="N32" s="33">
        <f>IF($E$5="No",ROUND(IF('Manual Data'!J31=1%,L32*$L$4,L32*'Manual Data'!J31),0),0)</f>
        <v>7522</v>
      </c>
      <c r="O32" s="33">
        <f aca="true" t="shared" si="16" ref="O32:R34">G32</f>
        <v>1400</v>
      </c>
      <c r="P32" s="33">
        <f t="shared" si="16"/>
        <v>337</v>
      </c>
      <c r="Q32" s="33">
        <f t="shared" si="16"/>
        <v>337</v>
      </c>
      <c r="R32" s="33">
        <f t="shared" si="9"/>
        <v>240</v>
      </c>
      <c r="S32" s="64">
        <f t="shared" si="10"/>
        <v>52298</v>
      </c>
      <c r="T32" s="35">
        <f t="shared" si="0"/>
        <v>10656</v>
      </c>
      <c r="U32" s="24">
        <f t="shared" si="11"/>
        <v>39710</v>
      </c>
      <c r="V32" s="33">
        <f t="shared" si="12"/>
        <v>5123</v>
      </c>
      <c r="W32" s="64">
        <f t="shared" si="13"/>
        <v>54669</v>
      </c>
      <c r="X32" s="35">
        <f t="shared" si="1"/>
        <v>2371</v>
      </c>
      <c r="Y32" s="18">
        <v>12.9</v>
      </c>
      <c r="Z32" s="158">
        <f>IF(C32=0,0,MIN(ROUNDUP(IF('Manual Data'!E31=1,IF(A32='Manual Data'!N31,ROUND(Z31*103%-0.01,0),Z31),'Manual Data'!E31),-1),NBPH1))</f>
        <v>37610</v>
      </c>
      <c r="AA32" s="17">
        <f>IF(C32=0,0,MIN(ROUNDUP(IF('Manual Data'!E31=1,IF(A32='Manual Data'!N31,ROUND(AA31*103%-0.01,0),AA31),'Manual Data'!E31),-1),NBPH1))</f>
        <v>39710</v>
      </c>
      <c r="AB32" s="17">
        <f>MIN(IF('Manual Data'!D31=1,IF(A32='Manual Data'!N31,AB31+'Manual Data'!O31,AB31),'Manual Data'!D31),OBPH1)</f>
        <v>16850</v>
      </c>
      <c r="AC32" s="36"/>
      <c r="AD32" s="36"/>
      <c r="AE32" s="36"/>
      <c r="AF32" s="36"/>
      <c r="AQ32" s="13">
        <v>24</v>
      </c>
      <c r="AR32" s="13">
        <f t="shared" si="15"/>
        <v>50770</v>
      </c>
    </row>
    <row r="33" spans="1:44" s="13" customFormat="1" ht="12">
      <c r="A33" s="31" t="s">
        <v>13</v>
      </c>
      <c r="B33" s="32" t="s">
        <v>25</v>
      </c>
      <c r="C33" s="24">
        <f t="shared" si="2"/>
        <v>16850</v>
      </c>
      <c r="D33" s="33">
        <f t="shared" si="3"/>
        <v>8425</v>
      </c>
      <c r="E33" s="33">
        <f>ROUND((C33+D33)*40.6%,0)</f>
        <v>10262</v>
      </c>
      <c r="F33" s="33">
        <f>IF($E$5="No",ROUND((C33+D33)*IF('Manual Data'!F32=1%,$K$4,'Manual Data'!F32),0),0)</f>
        <v>3791</v>
      </c>
      <c r="G33" s="33">
        <f>IF(C34=0,0,IF($L$5="Yes",IF('Manual Data'!G32=1,IF(OR($K$5="A",$K$5="A-1"),IF(OR($G$2="E1A",$G$2="E2A"),800,1400),IF(NOT(OR($G$2="E1A",$G$2="E2A")),800,500)),'Manual Data'!G32),0))</f>
        <v>1400</v>
      </c>
      <c r="H33" s="33">
        <f t="shared" si="4"/>
        <v>337</v>
      </c>
      <c r="I33" s="33">
        <f t="shared" si="5"/>
        <v>337</v>
      </c>
      <c r="J33" s="33">
        <f t="shared" si="14"/>
        <v>240</v>
      </c>
      <c r="K33" s="34">
        <f t="shared" si="6"/>
        <v>41642</v>
      </c>
      <c r="L33" s="24">
        <f t="shared" si="7"/>
        <v>37610</v>
      </c>
      <c r="M33" s="33">
        <f t="shared" si="8"/>
        <v>6243</v>
      </c>
      <c r="N33" s="33">
        <f>IF($E$5="No",ROUND(IF('Manual Data'!J32=1%,L33*$L$4,L33*'Manual Data'!J32),0),0)</f>
        <v>7522</v>
      </c>
      <c r="O33" s="33">
        <f t="shared" si="16"/>
        <v>1400</v>
      </c>
      <c r="P33" s="33">
        <f t="shared" si="16"/>
        <v>337</v>
      </c>
      <c r="Q33" s="33">
        <f t="shared" si="16"/>
        <v>337</v>
      </c>
      <c r="R33" s="33">
        <f t="shared" si="16"/>
        <v>240</v>
      </c>
      <c r="S33" s="64">
        <f t="shared" si="10"/>
        <v>53689</v>
      </c>
      <c r="T33" s="35">
        <f t="shared" si="0"/>
        <v>12047</v>
      </c>
      <c r="U33" s="24">
        <f t="shared" si="11"/>
        <v>39710</v>
      </c>
      <c r="V33" s="33">
        <f t="shared" si="12"/>
        <v>6592</v>
      </c>
      <c r="W33" s="64">
        <f t="shared" si="13"/>
        <v>56138</v>
      </c>
      <c r="X33" s="35">
        <f t="shared" si="1"/>
        <v>2449</v>
      </c>
      <c r="Y33" s="18">
        <v>16.6</v>
      </c>
      <c r="Z33" s="158">
        <f>IF(C33=0,0,MIN(ROUNDUP(IF('Manual Data'!E32=1,IF(A33='Manual Data'!N32,ROUND(Z32*103%-0.01,0),Z32),'Manual Data'!E32),-1),NBPH1))</f>
        <v>37610</v>
      </c>
      <c r="AA33" s="17">
        <f>IF(C33=0,0,MIN(ROUNDUP(IF('Manual Data'!E32=1,IF(A33='Manual Data'!N32,ROUND(AA32*103%-0.01,0),AA32),'Manual Data'!E32),-1),NBPH1))</f>
        <v>39710</v>
      </c>
      <c r="AB33" s="17">
        <f>MIN(IF('Manual Data'!D32=1,IF(A33='Manual Data'!N32,AB32+'Manual Data'!O32,AB32),'Manual Data'!D32),OBPH1)</f>
        <v>16850</v>
      </c>
      <c r="AC33" s="36"/>
      <c r="AD33" s="36"/>
      <c r="AE33" s="36"/>
      <c r="AF33" s="36"/>
      <c r="AQ33" s="13">
        <v>25</v>
      </c>
      <c r="AR33" s="13">
        <f t="shared" si="15"/>
        <v>52300</v>
      </c>
    </row>
    <row r="34" spans="1:44" s="13" customFormat="1" ht="12">
      <c r="A34" s="31" t="s">
        <v>14</v>
      </c>
      <c r="B34" s="37" t="s">
        <v>25</v>
      </c>
      <c r="C34" s="24">
        <f t="shared" si="2"/>
        <v>16850</v>
      </c>
      <c r="D34" s="33">
        <f t="shared" si="3"/>
        <v>8425</v>
      </c>
      <c r="E34" s="33">
        <f>ROUND((C34+D34)*40.6%,0)</f>
        <v>10262</v>
      </c>
      <c r="F34" s="38">
        <f>IF($E$5="No",ROUND((C34+D34)*IF('Manual Data'!F33=1%,$K$4,'Manual Data'!F33),0),0)</f>
        <v>3791</v>
      </c>
      <c r="G34" s="33">
        <f>IF(C35=0,0,IF($L$5="Yes",IF('Manual Data'!G33=1,IF(OR($K$5="A",$K$5="A-1"),IF(OR($G$2="E1A",$G$2="E2A"),800,1400),IF(NOT(OR($G$2="E1A",$G$2="E2A")),800,500)),'Manual Data'!G33),0))</f>
        <v>1400</v>
      </c>
      <c r="H34" s="33">
        <f>ROUND(C34*2%,0)</f>
        <v>337</v>
      </c>
      <c r="I34" s="33">
        <f>ROUND(C34*2%,0)</f>
        <v>337</v>
      </c>
      <c r="J34" s="33">
        <f t="shared" si="14"/>
        <v>240</v>
      </c>
      <c r="K34" s="39">
        <f>SUM(C34:J34)</f>
        <v>41642</v>
      </c>
      <c r="L34" s="24">
        <f t="shared" si="7"/>
        <v>37610</v>
      </c>
      <c r="M34" s="33">
        <f t="shared" si="8"/>
        <v>6243</v>
      </c>
      <c r="N34" s="33">
        <f>IF($E$5="No",ROUND(IF('Manual Data'!J33=1%,L34*$L$4,L34*'Manual Data'!J33),0),0)+F38</f>
        <v>8144</v>
      </c>
      <c r="O34" s="33">
        <f t="shared" si="16"/>
        <v>1400</v>
      </c>
      <c r="P34" s="33">
        <f t="shared" si="16"/>
        <v>337</v>
      </c>
      <c r="Q34" s="33">
        <f t="shared" si="16"/>
        <v>337</v>
      </c>
      <c r="R34" s="33">
        <f>J34-J38</f>
        <v>200</v>
      </c>
      <c r="S34" s="68">
        <f t="shared" si="10"/>
        <v>54271</v>
      </c>
      <c r="T34" s="35">
        <f t="shared" si="0"/>
        <v>12629</v>
      </c>
      <c r="U34" s="24">
        <f t="shared" si="11"/>
        <v>39710</v>
      </c>
      <c r="V34" s="38">
        <f t="shared" si="12"/>
        <v>6592</v>
      </c>
      <c r="W34" s="68">
        <f t="shared" si="13"/>
        <v>56720</v>
      </c>
      <c r="X34" s="69">
        <f t="shared" si="1"/>
        <v>2449</v>
      </c>
      <c r="Y34" s="18">
        <v>16.6</v>
      </c>
      <c r="Z34" s="158">
        <f>IF(C34=0,0,MIN(ROUNDUP(IF('Manual Data'!E33=1,IF(A34='Manual Data'!N33,ROUND(Z33*103%-0.01,0),Z33),'Manual Data'!E33),-1),NBPH1))</f>
        <v>37610</v>
      </c>
      <c r="AA34" s="17">
        <f>IF(C34=0,0,MIN(ROUNDUP(IF('Manual Data'!E33=1,IF(A34='Manual Data'!N33,ROUND(AA33*103%-0.01,0),AA33),'Manual Data'!E33),-1),NBPH1))</f>
        <v>39710</v>
      </c>
      <c r="AB34" s="17">
        <f>MIN(IF('Manual Data'!D33=1,IF(A34='Manual Data'!N33,AB33+'Manual Data'!O33,AB33),'Manual Data'!D33),OBPH1)</f>
        <v>16850</v>
      </c>
      <c r="AQ34" s="13">
        <v>26</v>
      </c>
      <c r="AR34" s="13">
        <f t="shared" si="15"/>
        <v>53870</v>
      </c>
    </row>
    <row r="35" spans="1:28" s="13" customFormat="1" ht="18.75" customHeight="1">
      <c r="A35" s="40" t="s">
        <v>23</v>
      </c>
      <c r="B35" s="41"/>
      <c r="C35" s="29">
        <f>SUM(C9:C34)</f>
        <v>429700</v>
      </c>
      <c r="D35" s="30">
        <f aca="true" t="shared" si="17" ref="D35:K35">SUM(D9:D34)</f>
        <v>214850</v>
      </c>
      <c r="E35" s="30">
        <f t="shared" si="17"/>
        <v>183775</v>
      </c>
      <c r="F35" s="30">
        <f t="shared" si="17"/>
        <v>96688</v>
      </c>
      <c r="G35" s="30">
        <f t="shared" si="17"/>
        <v>36400</v>
      </c>
      <c r="H35" s="30">
        <f t="shared" si="17"/>
        <v>8594</v>
      </c>
      <c r="I35" s="30">
        <f t="shared" si="17"/>
        <v>8594</v>
      </c>
      <c r="J35" s="30">
        <f t="shared" si="17"/>
        <v>6240</v>
      </c>
      <c r="K35" s="21">
        <f t="shared" si="17"/>
        <v>984841</v>
      </c>
      <c r="L35" s="29">
        <f>SUM(L9:L34)</f>
        <v>951640</v>
      </c>
      <c r="M35" s="30">
        <f aca="true" t="shared" si="18" ref="M35:X35">SUM(M9:M34)</f>
        <v>57552</v>
      </c>
      <c r="N35" s="30">
        <f t="shared" si="18"/>
        <v>108503</v>
      </c>
      <c r="O35" s="30">
        <f t="shared" si="18"/>
        <v>36400</v>
      </c>
      <c r="P35" s="30">
        <f t="shared" si="18"/>
        <v>8594</v>
      </c>
      <c r="Q35" s="30">
        <f t="shared" si="18"/>
        <v>8594</v>
      </c>
      <c r="R35" s="30">
        <f t="shared" si="18"/>
        <v>6200</v>
      </c>
      <c r="S35" s="29">
        <f t="shared" si="18"/>
        <v>1177483</v>
      </c>
      <c r="T35" s="29">
        <f t="shared" si="18"/>
        <v>192642</v>
      </c>
      <c r="U35" s="29">
        <f t="shared" si="18"/>
        <v>1004800</v>
      </c>
      <c r="V35" s="30">
        <f t="shared" si="18"/>
        <v>60764</v>
      </c>
      <c r="W35" s="29">
        <f t="shared" si="18"/>
        <v>1233855</v>
      </c>
      <c r="X35" s="29">
        <f t="shared" si="18"/>
        <v>56372</v>
      </c>
      <c r="Y35" s="18"/>
      <c r="Z35" s="17"/>
      <c r="AA35" s="17"/>
      <c r="AB35" s="17"/>
    </row>
    <row r="36" spans="1:28" s="13" customFormat="1" ht="18.75" customHeight="1">
      <c r="A36" s="42" t="s">
        <v>15</v>
      </c>
      <c r="B36" s="43" t="s">
        <v>25</v>
      </c>
      <c r="C36" s="44"/>
      <c r="D36" s="44"/>
      <c r="E36" s="44"/>
      <c r="F36" s="44"/>
      <c r="G36" s="44"/>
      <c r="H36" s="44"/>
      <c r="I36" s="44"/>
      <c r="J36" s="44"/>
      <c r="K36" s="21" t="s">
        <v>40</v>
      </c>
      <c r="L36" s="45">
        <f>IF(C37=0,0,MIN(ROUNDUP(IF('Manual Data'!I34=1,IF(A36=$E$4,L34*103%,L34),'Manual Data'!I34),-1),NBPH1))</f>
        <v>37610</v>
      </c>
      <c r="M36" s="46">
        <f>ROUND(L36*Y36%,0)</f>
        <v>6243</v>
      </c>
      <c r="N36" s="46">
        <f>IF($E$5="No",ROUND(IF('Manual Data'!J34=1%,L36*$L$4,L36*'Manual Data'!J34),0),0)</f>
        <v>7522</v>
      </c>
      <c r="O36" s="46">
        <f>G33</f>
        <v>1400</v>
      </c>
      <c r="P36" s="46">
        <f>H33</f>
        <v>337</v>
      </c>
      <c r="Q36" s="46">
        <f>I33</f>
        <v>337</v>
      </c>
      <c r="R36" s="47" t="s">
        <v>33</v>
      </c>
      <c r="S36" s="45">
        <f>SUM(L36:R36)</f>
        <v>53449</v>
      </c>
      <c r="T36" s="45">
        <f>S36-K37</f>
        <v>12047</v>
      </c>
      <c r="U36" s="45"/>
      <c r="V36" s="45"/>
      <c r="W36" s="45"/>
      <c r="X36" s="45"/>
      <c r="Y36" s="18">
        <v>16.6</v>
      </c>
      <c r="Z36" s="17"/>
      <c r="AA36" s="17"/>
      <c r="AB36" s="17"/>
    </row>
    <row r="37" spans="1:28" s="13" customFormat="1" ht="12">
      <c r="A37" s="48" t="s">
        <v>15</v>
      </c>
      <c r="B37" s="49" t="s">
        <v>25</v>
      </c>
      <c r="C37" s="50">
        <f>MIN(IF('Manual Data'!E34=1,IF(A37=$E$4,C34+INC1,C34),'Manual Data'!E34),OBPH1)</f>
        <v>16850</v>
      </c>
      <c r="D37" s="48">
        <f t="shared" si="3"/>
        <v>8425</v>
      </c>
      <c r="E37" s="48">
        <f>ROUND((C37+D37)*40.6%,0)</f>
        <v>10262</v>
      </c>
      <c r="F37" s="48">
        <f>IF($E$5="No",ROUND((C37+D37)*IF('Manual Data'!F34=1%,$K$4,'Manual Data'!F34),0),0)</f>
        <v>3791</v>
      </c>
      <c r="G37" s="48">
        <f>IF(C37=0,0,IF($L$5="Yes",IF('Manual Data'!G34=1,IF(OR($K$5="A",$K$5="A-1"),IF(OR($G$2="E1A",$G$2="E2A"),800,1400),IF(NOT(OR($G$2="E1A",$G$2="E2A")),800,500)),'Manual Data'!G34),0))</f>
        <v>1400</v>
      </c>
      <c r="H37" s="48">
        <f>ROUND(C37*2%,0)</f>
        <v>337</v>
      </c>
      <c r="I37" s="48">
        <f>ROUND(C37*2%,0)</f>
        <v>337</v>
      </c>
      <c r="J37" s="48">
        <f>IF(C37=0,0,IF($K$5="A",300,IF($K$5="A1",240,IF($K$5="B1",180,IF($K$5="B2",120,0)))))</f>
        <v>0</v>
      </c>
      <c r="K37" s="50">
        <f>SUM(C37:J37)</f>
        <v>41402</v>
      </c>
      <c r="L37" s="51"/>
      <c r="M37" s="51"/>
      <c r="N37" s="51"/>
      <c r="O37" s="51"/>
      <c r="P37" s="51"/>
      <c r="Q37" s="51"/>
      <c r="R37" s="51"/>
      <c r="S37" s="51"/>
      <c r="T37" s="52"/>
      <c r="U37" s="52"/>
      <c r="V37" s="52"/>
      <c r="W37" s="52"/>
      <c r="X37" s="52"/>
      <c r="Y37" s="18"/>
      <c r="Z37" s="17"/>
      <c r="AA37" s="17"/>
      <c r="AB37" s="17"/>
    </row>
    <row r="38" spans="1:28" s="13" customFormat="1" ht="12.75" customHeight="1">
      <c r="A38" s="17"/>
      <c r="B38" s="17"/>
      <c r="C38" s="17"/>
      <c r="D38" s="17"/>
      <c r="E38" s="17"/>
      <c r="F38" s="17">
        <f>IF(F31&gt;0,ROUND(5*(IF($E$5="No",ROUND(L31*$L$4,0),0)-F31)/30,0),0)</f>
        <v>622</v>
      </c>
      <c r="G38" s="17">
        <f>ROUND(5*(O32-G31)/30,0)</f>
        <v>0</v>
      </c>
      <c r="H38" s="17"/>
      <c r="I38" s="17"/>
      <c r="J38" s="17">
        <f>ROUND(5*J31/30,0)</f>
        <v>40</v>
      </c>
      <c r="K38" s="17"/>
      <c r="M38" s="53"/>
      <c r="S38" s="54" t="s">
        <v>41</v>
      </c>
      <c r="T38" s="170">
        <f>T35</f>
        <v>192642</v>
      </c>
      <c r="U38" s="170"/>
      <c r="V38" s="55"/>
      <c r="W38" s="55"/>
      <c r="X38" s="55"/>
      <c r="Y38" s="18"/>
      <c r="Z38" s="17"/>
      <c r="AA38" s="17"/>
      <c r="AB38" s="17"/>
    </row>
    <row r="39" spans="1:28" s="13" customFormat="1" ht="12">
      <c r="A39" s="11"/>
      <c r="B39" s="56"/>
      <c r="K39" s="53"/>
      <c r="L39" s="53"/>
      <c r="M39" s="53"/>
      <c r="N39" s="53"/>
      <c r="O39" s="53"/>
      <c r="P39" s="53"/>
      <c r="Q39" s="53"/>
      <c r="R39" s="53"/>
      <c r="S39" s="53"/>
      <c r="T39" s="57"/>
      <c r="U39" s="57"/>
      <c r="V39" s="57"/>
      <c r="W39" s="57"/>
      <c r="X39" s="57"/>
      <c r="Y39" s="18"/>
      <c r="Z39" s="17"/>
      <c r="AA39" s="17"/>
      <c r="AB39" s="17"/>
    </row>
    <row r="40" spans="15:28" s="13" customFormat="1" ht="12">
      <c r="O40" s="53" t="s">
        <v>111</v>
      </c>
      <c r="P40" s="58">
        <v>72447</v>
      </c>
      <c r="S40" s="53" t="s">
        <v>112</v>
      </c>
      <c r="T40" s="169">
        <f>T38-P40</f>
        <v>120195</v>
      </c>
      <c r="U40" s="169"/>
      <c r="V40" s="55"/>
      <c r="W40" s="55"/>
      <c r="X40" s="55"/>
      <c r="Y40" s="17"/>
      <c r="Z40" s="17"/>
      <c r="AA40" s="17"/>
      <c r="AB40" s="17"/>
    </row>
    <row r="41" spans="15:28" s="13" customFormat="1" ht="12">
      <c r="O41" s="53" t="s">
        <v>108</v>
      </c>
      <c r="P41" s="59"/>
      <c r="Q41" s="60" t="s">
        <v>110</v>
      </c>
      <c r="R41" s="67">
        <v>0.2</v>
      </c>
      <c r="S41" s="53" t="s">
        <v>104</v>
      </c>
      <c r="T41" s="169">
        <f>ROUNDUP(T40-IF(P41=0,T40*$R$41,P41),0)</f>
        <v>96156</v>
      </c>
      <c r="U41" s="169"/>
      <c r="V41" s="55"/>
      <c r="W41" s="55"/>
      <c r="X41" s="55"/>
      <c r="Y41" s="17"/>
      <c r="Z41" s="17"/>
      <c r="AA41" s="17"/>
      <c r="AB41" s="17"/>
    </row>
    <row r="42" spans="16:28" s="13" customFormat="1" ht="12">
      <c r="P42" s="53"/>
      <c r="S42" s="53" t="s">
        <v>109</v>
      </c>
      <c r="T42" s="171">
        <f>T40-T41</f>
        <v>24039</v>
      </c>
      <c r="U42" s="171"/>
      <c r="V42" s="11"/>
      <c r="W42" s="11"/>
      <c r="X42" s="11"/>
      <c r="Y42" s="17"/>
      <c r="Z42" s="17"/>
      <c r="AA42" s="17"/>
      <c r="AB42" s="17"/>
    </row>
    <row r="43" spans="1:28" s="13" customFormat="1" ht="12">
      <c r="A43" s="57"/>
      <c r="P43" s="53"/>
      <c r="S43" s="53"/>
      <c r="T43" s="11"/>
      <c r="U43" s="11"/>
      <c r="V43" s="11"/>
      <c r="W43" s="11"/>
      <c r="X43" s="11"/>
      <c r="Y43" s="17"/>
      <c r="Z43" s="17"/>
      <c r="AA43" s="17"/>
      <c r="AB43" s="17"/>
    </row>
    <row r="44" spans="1:28" s="13" customFormat="1" ht="34.5" customHeight="1">
      <c r="A44" s="61" t="s">
        <v>120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63" t="s">
        <v>125</v>
      </c>
      <c r="V44" s="63"/>
      <c r="W44" s="63"/>
      <c r="X44" s="63"/>
      <c r="Y44" s="17"/>
      <c r="Z44" s="17"/>
      <c r="AA44" s="17"/>
      <c r="AB44" s="17"/>
    </row>
    <row r="45" spans="1:28" s="13" customFormat="1" ht="11.2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/>
      <c r="U45" s="63"/>
      <c r="V45" s="63"/>
      <c r="W45" s="63"/>
      <c r="X45" s="63"/>
      <c r="Y45" s="17"/>
      <c r="Z45" s="17"/>
      <c r="AA45" s="17"/>
      <c r="AB45" s="17"/>
    </row>
    <row r="46" spans="1:28" s="13" customFormat="1" ht="12">
      <c r="A46" s="162" t="s">
        <v>5</v>
      </c>
      <c r="B46" s="163"/>
      <c r="C46" s="166" t="s">
        <v>131</v>
      </c>
      <c r="D46" s="167"/>
      <c r="E46" s="167"/>
      <c r="F46" s="167"/>
      <c r="G46" s="167"/>
      <c r="H46" s="167"/>
      <c r="I46" s="167"/>
      <c r="J46" s="167"/>
      <c r="K46" s="167"/>
      <c r="L46" s="166" t="s">
        <v>132</v>
      </c>
      <c r="M46" s="167"/>
      <c r="N46" s="167"/>
      <c r="O46" s="167"/>
      <c r="P46" s="167"/>
      <c r="Q46" s="167"/>
      <c r="R46" s="167"/>
      <c r="S46" s="168"/>
      <c r="T46" s="160" t="s">
        <v>10</v>
      </c>
      <c r="U46" s="55"/>
      <c r="V46" s="55"/>
      <c r="W46" s="55"/>
      <c r="X46" s="55"/>
      <c r="Y46" s="17"/>
      <c r="Z46" s="17"/>
      <c r="AA46" s="17"/>
      <c r="AB46" s="17"/>
    </row>
    <row r="47" spans="1:28" s="13" customFormat="1" ht="12">
      <c r="A47" s="164"/>
      <c r="B47" s="165"/>
      <c r="C47" s="141" t="s">
        <v>39</v>
      </c>
      <c r="D47" s="144" t="s">
        <v>26</v>
      </c>
      <c r="E47" s="145" t="s">
        <v>7</v>
      </c>
      <c r="F47" s="145" t="s">
        <v>2</v>
      </c>
      <c r="G47" s="145" t="s">
        <v>8</v>
      </c>
      <c r="H47" s="145" t="s">
        <v>34</v>
      </c>
      <c r="I47" s="145" t="s">
        <v>9</v>
      </c>
      <c r="J47" s="145" t="s">
        <v>27</v>
      </c>
      <c r="K47" s="140" t="s">
        <v>23</v>
      </c>
      <c r="L47" s="19" t="s">
        <v>39</v>
      </c>
      <c r="M47" s="145" t="s">
        <v>7</v>
      </c>
      <c r="N47" s="145" t="s">
        <v>2</v>
      </c>
      <c r="O47" s="145" t="s">
        <v>8</v>
      </c>
      <c r="P47" s="145" t="s">
        <v>34</v>
      </c>
      <c r="Q47" s="145" t="s">
        <v>9</v>
      </c>
      <c r="R47" s="146" t="s">
        <v>27</v>
      </c>
      <c r="S47" s="140" t="s">
        <v>23</v>
      </c>
      <c r="T47" s="161"/>
      <c r="U47" s="55"/>
      <c r="V47" s="55"/>
      <c r="W47" s="55"/>
      <c r="X47" s="55"/>
      <c r="Y47" s="17"/>
      <c r="Z47" s="17"/>
      <c r="AA47" s="17"/>
      <c r="AB47" s="17"/>
    </row>
    <row r="48" spans="1:45" s="13" customFormat="1" ht="12" customHeight="1">
      <c r="A48" s="31" t="s">
        <v>15</v>
      </c>
      <c r="B48" s="32" t="s">
        <v>25</v>
      </c>
      <c r="C48" s="31">
        <f>IF(Z34=0,0,MIN(ROUNDUP(IF('Manual Data'!E34=1,IF(A48='Manual Data'!N34,ROUND(Z34*103%-0.01,0),Z34),'Manual Data'!E34),-1),NBPH1))</f>
        <v>37610</v>
      </c>
      <c r="D48" s="33"/>
      <c r="E48" s="33">
        <f aca="true" t="shared" si="19" ref="E48:E79">ROUND(C48*Y48%,0)</f>
        <v>6243</v>
      </c>
      <c r="F48" s="33">
        <f>IF($E$5="No",ROUND(IF('Manual Data'!J34=1%,C48*$L$4,C48*'Manual Data'!J34),0),0)</f>
        <v>7522</v>
      </c>
      <c r="G48" s="33">
        <f>IF(C48=0,0,IF($L$5="Yes",IF('Manual Data'!G34=1,IF(OR($K$5="A",$K$5="A-1"),IF(OR($G$2="E1A",$G$2="E2A"),800,1400),IF(NOT(OR($G$2="E1A",$G$2="E2A")),800,500)),'Manual Data'!G34),0))</f>
        <v>1400</v>
      </c>
      <c r="H48" s="33">
        <f aca="true" t="shared" si="20" ref="H48:H53">ROUND(AB48*2%,0)</f>
        <v>337</v>
      </c>
      <c r="I48" s="33">
        <f aca="true" t="shared" si="21" ref="I48:I53">ROUND(AB48*2%,0)</f>
        <v>337</v>
      </c>
      <c r="J48" s="33"/>
      <c r="K48" s="34">
        <f aca="true" t="shared" si="22" ref="K48:K57">SUM(C48:J48)</f>
        <v>53449</v>
      </c>
      <c r="L48" s="31">
        <f>IF(C34=0,0,MIN(ROUNDUP(IF('Manual Data'!I33=1,IF(A34='Manual Data'!N34,ROUND(U33*103%-0.01,0),U33),'Manual Data'!I33),-1),NBPH1))</f>
        <v>39710</v>
      </c>
      <c r="M48" s="33">
        <f aca="true" t="shared" si="23" ref="M48:M79">ROUND(L48*Y48%,0)</f>
        <v>6592</v>
      </c>
      <c r="N48" s="33">
        <f>IF($E$5="No",ROUND(IF('Manual Data'!J34=1%,C48*$L$4,C48*'Manual Data'!J34),0),0)</f>
        <v>7522</v>
      </c>
      <c r="O48" s="33">
        <f aca="true" t="shared" si="24" ref="O48:O90">G48</f>
        <v>1400</v>
      </c>
      <c r="P48" s="33">
        <f aca="true" t="shared" si="25" ref="P48:P90">H48</f>
        <v>337</v>
      </c>
      <c r="Q48" s="33">
        <f aca="true" t="shared" si="26" ref="Q48:Q53">I48</f>
        <v>337</v>
      </c>
      <c r="R48" s="33">
        <f aca="true" t="shared" si="27" ref="R48:R90">J48</f>
        <v>0</v>
      </c>
      <c r="S48" s="64">
        <f aca="true" t="shared" si="28" ref="S48:S90">SUM(L48:R48)</f>
        <v>55898</v>
      </c>
      <c r="T48" s="35">
        <f aca="true" t="shared" si="29" ref="T48:T90">S48-K48</f>
        <v>2449</v>
      </c>
      <c r="U48" s="132"/>
      <c r="V48" s="120"/>
      <c r="W48" s="120"/>
      <c r="X48" s="120"/>
      <c r="Y48" s="18">
        <v>16.6</v>
      </c>
      <c r="Z48" s="17"/>
      <c r="AA48" s="17"/>
      <c r="AB48" s="158">
        <f>MIN(IF('Manual Data'!D33=1,IF(A48=$E$4,AB34+INC1,AB34),'Manual Data'!D33),OBPH1)</f>
        <v>16850</v>
      </c>
      <c r="AC48" s="16"/>
      <c r="AD48" s="16"/>
      <c r="AE48" s="16"/>
      <c r="AF48" s="16"/>
      <c r="AH48" s="13" t="s">
        <v>42</v>
      </c>
      <c r="AI48" s="13" t="s">
        <v>46</v>
      </c>
      <c r="AJ48" s="13" t="s">
        <v>66</v>
      </c>
      <c r="AK48" s="13">
        <v>13000</v>
      </c>
      <c r="AL48" s="13">
        <v>18250</v>
      </c>
      <c r="AM48" s="13">
        <v>350</v>
      </c>
      <c r="AN48" s="13" t="s">
        <v>77</v>
      </c>
      <c r="AO48" s="13">
        <v>24900</v>
      </c>
      <c r="AP48" s="13">
        <v>50500</v>
      </c>
      <c r="AQ48" s="13">
        <v>3</v>
      </c>
      <c r="AR48" s="13">
        <f>AR11</f>
        <v>27220</v>
      </c>
      <c r="AS48" s="13" t="s">
        <v>88</v>
      </c>
    </row>
    <row r="49" spans="1:45" s="13" customFormat="1" ht="12">
      <c r="A49" s="31" t="s">
        <v>16</v>
      </c>
      <c r="B49" s="32" t="s">
        <v>25</v>
      </c>
      <c r="C49" s="31">
        <f>IF(C48=0,0,MIN(ROUNDUP(IF('Manual Data'!E35=1,IF(A49='Manual Data'!N35,ROUND(C48*103%-0.01,0),C48),'Manual Data'!E35),-1),NBPH1))</f>
        <v>37610</v>
      </c>
      <c r="D49" s="33"/>
      <c r="E49" s="33">
        <f t="shared" si="19"/>
        <v>6243</v>
      </c>
      <c r="F49" s="33">
        <f>IF($E$5="No",ROUND(IF('Manual Data'!J35=1%,C49*$L$4,C49*'Manual Data'!J35),0),0)</f>
        <v>7522</v>
      </c>
      <c r="G49" s="33">
        <f>IF(C49=0,0,IF($L$5="Yes",IF('Manual Data'!G35=1,IF(OR($K$5="A",$K$5="A-1"),IF(OR($G$2="E1A",$G$2="E2A"),800,1400),IF(NOT(OR($G$2="E1A",$G$2="E2A")),800,500)),'Manual Data'!G35),0))</f>
        <v>1400</v>
      </c>
      <c r="H49" s="33">
        <f t="shared" si="20"/>
        <v>337</v>
      </c>
      <c r="I49" s="33">
        <f t="shared" si="21"/>
        <v>337</v>
      </c>
      <c r="J49" s="33"/>
      <c r="K49" s="34">
        <f t="shared" si="22"/>
        <v>53449</v>
      </c>
      <c r="L49" s="31">
        <f>IF(C49=0,0,MIN(ROUNDUP(IF('Manual Data'!I35=1,IF(A49='Manual Data'!N35,ROUND(L48*103%-0.01,0),L48),'Manual Data'!I35),-1),HPS))</f>
        <v>39710</v>
      </c>
      <c r="M49" s="33">
        <f t="shared" si="23"/>
        <v>6592</v>
      </c>
      <c r="N49" s="33">
        <f>IF($E$5="No",ROUND(IF('Manual Data'!J35=1%,C49*$L$4,C49*'Manual Data'!J35),0),0)</f>
        <v>7522</v>
      </c>
      <c r="O49" s="33">
        <f t="shared" si="24"/>
        <v>1400</v>
      </c>
      <c r="P49" s="33">
        <f t="shared" si="25"/>
        <v>337</v>
      </c>
      <c r="Q49" s="33">
        <f t="shared" si="26"/>
        <v>337</v>
      </c>
      <c r="R49" s="33">
        <f t="shared" si="27"/>
        <v>0</v>
      </c>
      <c r="S49" s="64">
        <f t="shared" si="28"/>
        <v>55898</v>
      </c>
      <c r="T49" s="35">
        <f t="shared" si="29"/>
        <v>2449</v>
      </c>
      <c r="U49" s="132"/>
      <c r="V49" s="120"/>
      <c r="W49" s="120"/>
      <c r="X49" s="120"/>
      <c r="Y49" s="18">
        <v>16.6</v>
      </c>
      <c r="Z49" s="17"/>
      <c r="AA49" s="17"/>
      <c r="AB49" s="158">
        <f>MIN(IF('Manual Data'!D34=1,IF(A49=$E$4,AB48+INC1,AB48),'Manual Data'!D34),OBPH1)</f>
        <v>16850</v>
      </c>
      <c r="AC49" s="16"/>
      <c r="AD49" s="16"/>
      <c r="AE49" s="16"/>
      <c r="AF49" s="16"/>
      <c r="AH49" s="13" t="s">
        <v>57</v>
      </c>
      <c r="AI49" s="13" t="s">
        <v>47</v>
      </c>
      <c r="AJ49" s="13" t="s">
        <v>67</v>
      </c>
      <c r="AK49" s="13">
        <v>14500</v>
      </c>
      <c r="AL49" s="13">
        <v>18700</v>
      </c>
      <c r="AM49" s="13">
        <v>350</v>
      </c>
      <c r="AN49" s="13" t="s">
        <v>78</v>
      </c>
      <c r="AO49" s="13">
        <v>29100</v>
      </c>
      <c r="AP49" s="13">
        <v>54500</v>
      </c>
      <c r="AQ49" s="13">
        <v>4</v>
      </c>
      <c r="AR49" s="13">
        <f>ROUNDUP(AR48*103%,-1)</f>
        <v>28040</v>
      </c>
      <c r="AS49" s="13" t="s">
        <v>89</v>
      </c>
    </row>
    <row r="50" spans="1:45" s="13" customFormat="1" ht="12" customHeight="1">
      <c r="A50" s="31" t="s">
        <v>17</v>
      </c>
      <c r="B50" s="32" t="s">
        <v>25</v>
      </c>
      <c r="C50" s="31">
        <f>IF(C49=0,0,MIN(ROUNDUP(IF('Manual Data'!E36=1,IF(A50='Manual Data'!N36,ROUND(C49*103%-0.01,0),C49),'Manual Data'!E36),-1),NBPH1))</f>
        <v>37610</v>
      </c>
      <c r="D50" s="33"/>
      <c r="E50" s="33">
        <f t="shared" si="19"/>
        <v>6356</v>
      </c>
      <c r="F50" s="33">
        <f>IF($E$5="No",ROUND(IF('Manual Data'!J36=1%,C50*$L$4,C50*'Manual Data'!J36),0),0)</f>
        <v>7522</v>
      </c>
      <c r="G50" s="33">
        <f>IF(C50=0,0,IF($L$5="Yes",IF('Manual Data'!G36=1,IF(OR($K$5="A",$K$5="A-1"),IF(OR($G$2="E1A",$G$2="E2A"),800,1400),IF(NOT(OR($G$2="E1A",$G$2="E2A")),800,500)),'Manual Data'!G36),0))</f>
        <v>1400</v>
      </c>
      <c r="H50" s="33">
        <f t="shared" si="20"/>
        <v>337</v>
      </c>
      <c r="I50" s="33">
        <f t="shared" si="21"/>
        <v>337</v>
      </c>
      <c r="J50" s="33"/>
      <c r="K50" s="34">
        <f t="shared" si="22"/>
        <v>53562</v>
      </c>
      <c r="L50" s="31">
        <f>IF(C50=0,0,MIN(ROUNDUP(IF('Manual Data'!I36=1,IF(A50='Manual Data'!N36,ROUND(L49*103%-0.01,0),L49),'Manual Data'!I36),-1),HPS))</f>
        <v>39710</v>
      </c>
      <c r="M50" s="33">
        <f t="shared" si="23"/>
        <v>6711</v>
      </c>
      <c r="N50" s="33">
        <f>IF($E$5="No",ROUND(IF('Manual Data'!J36=1%,C50*$L$4,C50*'Manual Data'!J36),0),0)</f>
        <v>7522</v>
      </c>
      <c r="O50" s="33">
        <f t="shared" si="24"/>
        <v>1400</v>
      </c>
      <c r="P50" s="33">
        <f t="shared" si="25"/>
        <v>337</v>
      </c>
      <c r="Q50" s="33">
        <f t="shared" si="26"/>
        <v>337</v>
      </c>
      <c r="R50" s="33">
        <f t="shared" si="27"/>
        <v>0</v>
      </c>
      <c r="S50" s="64">
        <f t="shared" si="28"/>
        <v>56017</v>
      </c>
      <c r="T50" s="35">
        <f t="shared" si="29"/>
        <v>2455</v>
      </c>
      <c r="U50" s="132"/>
      <c r="V50" s="120"/>
      <c r="W50" s="120"/>
      <c r="X50" s="120"/>
      <c r="Y50" s="18">
        <v>16.9</v>
      </c>
      <c r="Z50" s="17"/>
      <c r="AA50" s="17"/>
      <c r="AB50" s="158">
        <f>MIN(IF('Manual Data'!D35=1,IF(A50=$E$4,AB49+INC1,AB49),'Manual Data'!D35),OBPH1)</f>
        <v>16850</v>
      </c>
      <c r="AC50" s="16"/>
      <c r="AD50" s="16"/>
      <c r="AE50" s="16"/>
      <c r="AF50" s="16"/>
      <c r="AH50" s="13" t="s">
        <v>58</v>
      </c>
      <c r="AI50" s="13" t="s">
        <v>48</v>
      </c>
      <c r="AJ50" s="13" t="s">
        <v>68</v>
      </c>
      <c r="AK50" s="13">
        <v>16000</v>
      </c>
      <c r="AL50" s="13">
        <v>20800</v>
      </c>
      <c r="AM50" s="13">
        <v>400</v>
      </c>
      <c r="AN50" s="13" t="s">
        <v>79</v>
      </c>
      <c r="AO50" s="13">
        <v>32900</v>
      </c>
      <c r="AP50" s="13">
        <v>58000</v>
      </c>
      <c r="AQ50" s="13">
        <v>5</v>
      </c>
      <c r="AR50" s="13">
        <f>ROUNDUP(AR49*103%,-1)</f>
        <v>28890</v>
      </c>
      <c r="AS50" s="13" t="s">
        <v>90</v>
      </c>
    </row>
    <row r="51" spans="1:45" s="13" customFormat="1" ht="12">
      <c r="A51" s="31" t="s">
        <v>18</v>
      </c>
      <c r="B51" s="32" t="s">
        <v>25</v>
      </c>
      <c r="C51" s="31">
        <f>IF(C50=0,0,MIN(ROUNDUP(IF('Manual Data'!E37=1,IF(A51='Manual Data'!N37,ROUND(C50*103%-0.01,0),C50),'Manual Data'!E37),-1),NBPH1))</f>
        <v>37610</v>
      </c>
      <c r="D51" s="33"/>
      <c r="E51" s="33">
        <f t="shared" si="19"/>
        <v>6356</v>
      </c>
      <c r="F51" s="33">
        <f>IF($E$5="No",ROUND(IF('Manual Data'!J37=1%,C51*$L$4,C51*'Manual Data'!J37),0),0)</f>
        <v>7522</v>
      </c>
      <c r="G51" s="33">
        <f>IF(C51=0,0,IF($L$5="Yes",IF('Manual Data'!G37=1,IF(OR($K$5="A",$K$5="A-1"),IF(OR($G$2="E1A",$G$2="E2A"),800,1400),IF(NOT(OR($G$2="E1A",$G$2="E2A")),800,500)),'Manual Data'!G37),0))</f>
        <v>1400</v>
      </c>
      <c r="H51" s="33">
        <f t="shared" si="20"/>
        <v>337</v>
      </c>
      <c r="I51" s="33">
        <f t="shared" si="21"/>
        <v>337</v>
      </c>
      <c r="J51" s="33"/>
      <c r="K51" s="34">
        <f t="shared" si="22"/>
        <v>53562</v>
      </c>
      <c r="L51" s="31">
        <f>IF(C51=0,0,MIN(ROUNDUP(IF('Manual Data'!I37=1,IF(A51='Manual Data'!N37,ROUND(L50*103%-0.01,0),L50),'Manual Data'!I37),-1),HPS))</f>
        <v>39710</v>
      </c>
      <c r="M51" s="33">
        <f t="shared" si="23"/>
        <v>6711</v>
      </c>
      <c r="N51" s="33">
        <f>IF($E$5="No",ROUND(IF('Manual Data'!J37=1%,C51*$L$4,C51*'Manual Data'!J37),0),0)</f>
        <v>7522</v>
      </c>
      <c r="O51" s="33">
        <f t="shared" si="24"/>
        <v>1400</v>
      </c>
      <c r="P51" s="33">
        <f t="shared" si="25"/>
        <v>337</v>
      </c>
      <c r="Q51" s="33">
        <f t="shared" si="26"/>
        <v>337</v>
      </c>
      <c r="R51" s="33">
        <f t="shared" si="27"/>
        <v>0</v>
      </c>
      <c r="S51" s="64">
        <f t="shared" si="28"/>
        <v>56017</v>
      </c>
      <c r="T51" s="35">
        <f t="shared" si="29"/>
        <v>2455</v>
      </c>
      <c r="U51" s="132"/>
      <c r="V51" s="120"/>
      <c r="W51" s="120"/>
      <c r="X51" s="120"/>
      <c r="Y51" s="18">
        <v>16.9</v>
      </c>
      <c r="Z51" s="17"/>
      <c r="AA51" s="17"/>
      <c r="AB51" s="158">
        <f>MIN(IF('Manual Data'!D36=1,IF(A51=$E$4,AB50+INC1,AB50),'Manual Data'!D36),OBPH1)</f>
        <v>16850</v>
      </c>
      <c r="AC51" s="16"/>
      <c r="AD51" s="16"/>
      <c r="AE51" s="16"/>
      <c r="AF51" s="16"/>
      <c r="AH51" s="13" t="s">
        <v>59</v>
      </c>
      <c r="AI51" s="13" t="s">
        <v>49</v>
      </c>
      <c r="AJ51" s="13" t="s">
        <v>69</v>
      </c>
      <c r="AK51" s="13">
        <v>17500</v>
      </c>
      <c r="AL51" s="13">
        <v>22300</v>
      </c>
      <c r="AM51" s="13">
        <v>400</v>
      </c>
      <c r="AN51" s="13" t="s">
        <v>80</v>
      </c>
      <c r="AO51" s="13">
        <v>36600</v>
      </c>
      <c r="AP51" s="13">
        <v>62000</v>
      </c>
      <c r="AQ51" s="13">
        <v>6</v>
      </c>
      <c r="AR51" s="13">
        <f>ROUNDUP(AR50*103%,-1)</f>
        <v>29760</v>
      </c>
      <c r="AS51" s="13" t="s">
        <v>91</v>
      </c>
    </row>
    <row r="52" spans="1:45" s="13" customFormat="1" ht="12">
      <c r="A52" s="31" t="s">
        <v>19</v>
      </c>
      <c r="B52" s="32" t="s">
        <v>25</v>
      </c>
      <c r="C52" s="31">
        <f>IF(C51=0,0,MIN(ROUNDUP(IF('Manual Data'!E38=1,IF(A52='Manual Data'!N38,ROUND(C51*103%-0.01,0),C51),'Manual Data'!E38),-1),NBPH1))</f>
        <v>38740</v>
      </c>
      <c r="D52" s="33"/>
      <c r="E52" s="33">
        <f t="shared" si="19"/>
        <v>7167</v>
      </c>
      <c r="F52" s="33">
        <f>IF($E$5="No",ROUND(IF('Manual Data'!J38=1%,C52*$L$4,C52*'Manual Data'!J38),0),0)</f>
        <v>7748</v>
      </c>
      <c r="G52" s="33">
        <f>IF(C52=0,0,IF($L$5="Yes",IF('Manual Data'!G38=1,IF(OR($K$5="A",$K$5="A-1"),IF(OR($G$2="E1A",$G$2="E2A"),800,1400),IF(NOT(OR($G$2="E1A",$G$2="E2A")),800,500)),'Manual Data'!G38),0))</f>
        <v>1400</v>
      </c>
      <c r="H52" s="33">
        <f t="shared" si="20"/>
        <v>344</v>
      </c>
      <c r="I52" s="33">
        <f t="shared" si="21"/>
        <v>344</v>
      </c>
      <c r="J52" s="33"/>
      <c r="K52" s="34">
        <f t="shared" si="22"/>
        <v>55743</v>
      </c>
      <c r="L52" s="31">
        <f>IF(C52=0,0,MIN(ROUNDUP(IF('Manual Data'!I38=1,IF(A52='Manual Data'!N38,ROUND(L51*103%-0.01,0),L51),'Manual Data'!I38),-1),HPS))</f>
        <v>40910</v>
      </c>
      <c r="M52" s="33">
        <f t="shared" si="23"/>
        <v>7568</v>
      </c>
      <c r="N52" s="33">
        <f>IF($E$5="No",ROUND(IF('Manual Data'!J38=1%,C52*$L$4,C52*'Manual Data'!J38),0),0)</f>
        <v>7748</v>
      </c>
      <c r="O52" s="33">
        <f t="shared" si="24"/>
        <v>1400</v>
      </c>
      <c r="P52" s="33">
        <f t="shared" si="25"/>
        <v>344</v>
      </c>
      <c r="Q52" s="33">
        <f t="shared" si="26"/>
        <v>344</v>
      </c>
      <c r="R52" s="33">
        <f t="shared" si="27"/>
        <v>0</v>
      </c>
      <c r="S52" s="64">
        <f t="shared" si="28"/>
        <v>58314</v>
      </c>
      <c r="T52" s="35">
        <f t="shared" si="29"/>
        <v>2571</v>
      </c>
      <c r="U52" s="132"/>
      <c r="V52" s="120"/>
      <c r="W52" s="120"/>
      <c r="X52" s="120"/>
      <c r="Y52" s="18">
        <v>18.5</v>
      </c>
      <c r="Z52" s="17"/>
      <c r="AA52" s="17"/>
      <c r="AB52" s="158">
        <f>MIN(IF('Manual Data'!D37=1,IF(A52=$E$4,AB51+INC1,AB51),'Manual Data'!D37),OBPH1)</f>
        <v>17200</v>
      </c>
      <c r="AC52" s="16"/>
      <c r="AD52" s="16"/>
      <c r="AE52" s="16"/>
      <c r="AF52" s="16"/>
      <c r="AH52" s="13" t="s">
        <v>60</v>
      </c>
      <c r="AI52" s="13" t="s">
        <v>50</v>
      </c>
      <c r="AJ52" s="13" t="s">
        <v>70</v>
      </c>
      <c r="AK52" s="13">
        <v>18500</v>
      </c>
      <c r="AL52" s="13">
        <v>23900</v>
      </c>
      <c r="AM52" s="13">
        <v>450</v>
      </c>
      <c r="AN52" s="13" t="s">
        <v>81</v>
      </c>
      <c r="AO52" s="13">
        <v>43200</v>
      </c>
      <c r="AP52" s="13">
        <v>66000</v>
      </c>
      <c r="AQ52" s="13">
        <v>7</v>
      </c>
      <c r="AR52" s="13">
        <f>ROUNDUP(AR51*103%,-1)</f>
        <v>30660</v>
      </c>
      <c r="AS52" s="13" t="s">
        <v>92</v>
      </c>
    </row>
    <row r="53" spans="1:28" ht="12">
      <c r="A53" s="31" t="s">
        <v>20</v>
      </c>
      <c r="B53" s="32" t="s">
        <v>25</v>
      </c>
      <c r="C53" s="31">
        <f>IF(C52=0,0,MIN(ROUNDUP(IF('Manual Data'!E39=1,IF(A53='Manual Data'!N39,ROUND(C52*103%-0.01,0),C52),'Manual Data'!E39),-1),NBPH1))</f>
        <v>38740</v>
      </c>
      <c r="D53" s="33"/>
      <c r="E53" s="33">
        <f t="shared" si="19"/>
        <v>7167</v>
      </c>
      <c r="F53" s="33">
        <f>IF($E$5="No",ROUND(IF('Manual Data'!J39=1%,C53*$L$4,C53*'Manual Data'!J39),0),0)</f>
        <v>7748</v>
      </c>
      <c r="G53" s="33">
        <f>IF(C53=0,0,IF($L$5="Yes",IF('Manual Data'!G39=1,IF(OR($K$5="A",$K$5="A-1"),IF(OR($G$2="E1A",$G$2="E2A"),800,1400),IF(NOT(OR($G$2="E1A",$G$2="E2A")),800,500)),'Manual Data'!G39),0))</f>
        <v>1400</v>
      </c>
      <c r="H53" s="33">
        <f t="shared" si="20"/>
        <v>344</v>
      </c>
      <c r="I53" s="33">
        <f t="shared" si="21"/>
        <v>344</v>
      </c>
      <c r="J53" s="33"/>
      <c r="K53" s="34">
        <f t="shared" si="22"/>
        <v>55743</v>
      </c>
      <c r="L53" s="31">
        <f>IF(C53=0,0,MIN(ROUNDUP(IF('Manual Data'!I39=1,IF(A53='Manual Data'!N39,ROUND(L52*103%-0.01,0),L52),'Manual Data'!I39),-1),HPS))</f>
        <v>40910</v>
      </c>
      <c r="M53" s="33">
        <f t="shared" si="23"/>
        <v>7568</v>
      </c>
      <c r="N53" s="33">
        <f>IF($E$5="No",ROUND(IF('Manual Data'!J39=1%,C53*$L$4,C53*'Manual Data'!J39),0),0)</f>
        <v>7748</v>
      </c>
      <c r="O53" s="33">
        <f t="shared" si="24"/>
        <v>1400</v>
      </c>
      <c r="P53" s="33">
        <f t="shared" si="25"/>
        <v>344</v>
      </c>
      <c r="Q53" s="33">
        <f t="shared" si="26"/>
        <v>344</v>
      </c>
      <c r="R53" s="33">
        <f t="shared" si="27"/>
        <v>0</v>
      </c>
      <c r="S53" s="64">
        <f t="shared" si="28"/>
        <v>58314</v>
      </c>
      <c r="T53" s="35">
        <f t="shared" si="29"/>
        <v>2571</v>
      </c>
      <c r="U53" s="132"/>
      <c r="V53" s="120"/>
      <c r="W53" s="120"/>
      <c r="X53" s="120"/>
      <c r="Y53" s="18">
        <v>18.5</v>
      </c>
      <c r="AB53" s="158">
        <f>MIN(IF('Manual Data'!D38=1,IF(A53=$E$4,AB52+INC1,AB52),'Manual Data'!D38),OBPH1)</f>
        <v>17200</v>
      </c>
    </row>
    <row r="54" spans="1:28" ht="12">
      <c r="A54" s="31" t="s">
        <v>21</v>
      </c>
      <c r="B54" s="32" t="s">
        <v>25</v>
      </c>
      <c r="C54" s="31">
        <f>IF(C53=0,0,MIN(ROUNDUP(IF('Manual Data'!E40=1,IF(A54='Manual Data'!N40,ROUND(C53*103%-0.01,0),C53),'Manual Data'!E40),-1),NBPH1))</f>
        <v>38740</v>
      </c>
      <c r="D54" s="33"/>
      <c r="E54" s="33">
        <f t="shared" si="19"/>
        <v>7167</v>
      </c>
      <c r="F54" s="33">
        <f>IF($E$5="No",ROUND(IF('Manual Data'!J40=1%,C54*$L$4,C54*'Manual Data'!J40),0),0)</f>
        <v>7748</v>
      </c>
      <c r="G54" s="33">
        <f>IF(C54=0,0,IF($L$5="Yes",IF('Manual Data'!G40=1,IF(OR($K$5="A",$K$5="A-1"),IF(OR($G$2="E1A",$G$2="E2A"),800,1400),IF(NOT(OR($G$2="E1A",$G$2="E2A")),800,500)),'Manual Data'!G40),0))</f>
        <v>1400</v>
      </c>
      <c r="H54" s="33">
        <v>0</v>
      </c>
      <c r="I54" s="33">
        <f>ROUND(C54*2%,0)</f>
        <v>775</v>
      </c>
      <c r="J54" s="33"/>
      <c r="K54" s="34">
        <f t="shared" si="22"/>
        <v>55830</v>
      </c>
      <c r="L54" s="31">
        <f>IF(C54=0,0,MIN(ROUNDUP(IF('Manual Data'!I40=1,IF(A54='Manual Data'!N40,ROUND(L53*103%-0.01,0),L53),'Manual Data'!I40),-1),HPS))</f>
        <v>40910</v>
      </c>
      <c r="M54" s="33">
        <f t="shared" si="23"/>
        <v>7568</v>
      </c>
      <c r="N54" s="33">
        <f>IF($E$5="No",ROUND(IF('Manual Data'!J40=1%,C54*$L$4,C54*'Manual Data'!J40),0),0)</f>
        <v>7748</v>
      </c>
      <c r="O54" s="33">
        <f t="shared" si="24"/>
        <v>1400</v>
      </c>
      <c r="P54" s="33">
        <f t="shared" si="25"/>
        <v>0</v>
      </c>
      <c r="Q54" s="33">
        <f>ROUND(C54*2%,0)</f>
        <v>775</v>
      </c>
      <c r="R54" s="33">
        <f t="shared" si="27"/>
        <v>0</v>
      </c>
      <c r="S54" s="64">
        <f t="shared" si="28"/>
        <v>58401</v>
      </c>
      <c r="T54" s="35">
        <f t="shared" si="29"/>
        <v>2571</v>
      </c>
      <c r="U54" s="132"/>
      <c r="V54" s="120"/>
      <c r="W54" s="120"/>
      <c r="X54" s="120"/>
      <c r="Y54" s="18">
        <v>18.5</v>
      </c>
      <c r="AB54" s="158">
        <f>MIN(IF('Manual Data'!D39=1,IF(A54=$E$4,AB53+INC1,AB53),'Manual Data'!D39),OBPH1)</f>
        <v>17200</v>
      </c>
    </row>
    <row r="55" spans="1:28" ht="12">
      <c r="A55" s="31" t="s">
        <v>1</v>
      </c>
      <c r="B55" s="32" t="s">
        <v>25</v>
      </c>
      <c r="C55" s="31">
        <f>IF(C54=0,0,MIN(ROUNDUP(IF('Manual Data'!E41=1,IF(A55='Manual Data'!N41,ROUND(C54*103%-0.01,0),C54),'Manual Data'!E41),-1),NBPH1))</f>
        <v>38740</v>
      </c>
      <c r="D55" s="33"/>
      <c r="E55" s="33">
        <f t="shared" si="19"/>
        <v>9801</v>
      </c>
      <c r="F55" s="33">
        <f>IF($E$5="No",ROUND(IF('Manual Data'!J41=1%,C55*$L$4,C55*'Manual Data'!J41),0),0)</f>
        <v>7748</v>
      </c>
      <c r="G55" s="33">
        <f>IF(C55=0,0,IF($L$5="Yes",IF('Manual Data'!G41=1,IF(OR($K$5="A",$K$5="A-1"),IF(OR($G$2="E1A",$G$2="E2A"),800,1400),IF(NOT(OR($G$2="E1A",$G$2="E2A")),800,500)),'Manual Data'!G41),0))</f>
        <v>1400</v>
      </c>
      <c r="H55" s="33">
        <v>0</v>
      </c>
      <c r="I55" s="33">
        <f aca="true" t="shared" si="30" ref="I55:I69">ROUND(C55*2%,0)</f>
        <v>775</v>
      </c>
      <c r="J55" s="33"/>
      <c r="K55" s="34">
        <f t="shared" si="22"/>
        <v>58464</v>
      </c>
      <c r="L55" s="31">
        <f>IF(C55=0,0,MIN(ROUNDUP(IF('Manual Data'!I41=1,IF(A55='Manual Data'!N41,ROUND(L54*103%-0.01,0),L54),'Manual Data'!I41),-1),HPS))</f>
        <v>40910</v>
      </c>
      <c r="M55" s="33">
        <f t="shared" si="23"/>
        <v>10350</v>
      </c>
      <c r="N55" s="33">
        <f>IF($E$5="No",ROUND(IF('Manual Data'!J41=1%,C55*$L$4,C55*'Manual Data'!J41),0),0)</f>
        <v>7748</v>
      </c>
      <c r="O55" s="33">
        <f t="shared" si="24"/>
        <v>1400</v>
      </c>
      <c r="P55" s="33">
        <f t="shared" si="25"/>
        <v>0</v>
      </c>
      <c r="Q55" s="33">
        <f aca="true" t="shared" si="31" ref="Q55:Q99">ROUND(C55*2%,0)</f>
        <v>775</v>
      </c>
      <c r="R55" s="33">
        <f t="shared" si="27"/>
        <v>0</v>
      </c>
      <c r="S55" s="64">
        <f t="shared" si="28"/>
        <v>61183</v>
      </c>
      <c r="T55" s="35">
        <f t="shared" si="29"/>
        <v>2719</v>
      </c>
      <c r="U55" s="132"/>
      <c r="V55" s="120"/>
      <c r="W55" s="120"/>
      <c r="X55" s="120"/>
      <c r="Y55" s="18">
        <v>25.3</v>
      </c>
      <c r="AB55" s="158">
        <f>MIN(IF('Manual Data'!D40=1,IF(A55=$E$4,AB54+INC1,AB54),'Manual Data'!D40),OBPH1)</f>
        <v>17200</v>
      </c>
    </row>
    <row r="56" spans="1:28" ht="12">
      <c r="A56" s="31" t="s">
        <v>11</v>
      </c>
      <c r="B56" s="32" t="s">
        <v>25</v>
      </c>
      <c r="C56" s="31">
        <f>IF(C55=0,0,MIN(ROUNDUP(IF('Manual Data'!E42=1,IF(A56='Manual Data'!N42,ROUND(C55*103%-0.01,0),C55),'Manual Data'!E42),-1),NBPH1))</f>
        <v>38740</v>
      </c>
      <c r="D56" s="33"/>
      <c r="E56" s="33">
        <f t="shared" si="19"/>
        <v>9801</v>
      </c>
      <c r="F56" s="33">
        <f>IF($E$5="No",ROUND(IF('Manual Data'!J42=1%,C56*$L$4,C56*'Manual Data'!J42),0),0)</f>
        <v>7748</v>
      </c>
      <c r="G56" s="33">
        <f>IF(C56=0,0,IF($L$5="Yes",IF('Manual Data'!G42=1,IF(OR($K$5="A",$K$5="A-1"),IF(OR($G$2="E1A",$G$2="E2A"),800,1400),IF(NOT(OR($G$2="E1A",$G$2="E2A")),800,500)),'Manual Data'!G42),0))</f>
        <v>1400</v>
      </c>
      <c r="H56" s="33">
        <v>0</v>
      </c>
      <c r="I56" s="33">
        <f t="shared" si="30"/>
        <v>775</v>
      </c>
      <c r="J56" s="33"/>
      <c r="K56" s="34">
        <f t="shared" si="22"/>
        <v>58464</v>
      </c>
      <c r="L56" s="31">
        <f>IF(C56=0,0,MIN(ROUNDUP(IF('Manual Data'!I42=1,IF(A56='Manual Data'!N42,ROUND(L55*103%-0.01,0),L55),'Manual Data'!I42),-1),HPS))</f>
        <v>40910</v>
      </c>
      <c r="M56" s="33">
        <f t="shared" si="23"/>
        <v>10350</v>
      </c>
      <c r="N56" s="33">
        <f>IF($E$5="No",ROUND(IF('Manual Data'!J42=1%,C56*$L$4,C56*'Manual Data'!J42),0),0)</f>
        <v>7748</v>
      </c>
      <c r="O56" s="33">
        <f t="shared" si="24"/>
        <v>1400</v>
      </c>
      <c r="P56" s="33">
        <f t="shared" si="25"/>
        <v>0</v>
      </c>
      <c r="Q56" s="33">
        <f t="shared" si="31"/>
        <v>775</v>
      </c>
      <c r="R56" s="33">
        <f t="shared" si="27"/>
        <v>0</v>
      </c>
      <c r="S56" s="64">
        <f t="shared" si="28"/>
        <v>61183</v>
      </c>
      <c r="T56" s="35">
        <f t="shared" si="29"/>
        <v>2719</v>
      </c>
      <c r="U56" s="132"/>
      <c r="V56" s="120"/>
      <c r="W56" s="120"/>
      <c r="X56" s="120"/>
      <c r="Y56" s="18">
        <v>25.3</v>
      </c>
      <c r="AB56" s="158">
        <f>MIN(IF('Manual Data'!D41=1,IF(A56=$E$4,AB55+INC1,AB55),'Manual Data'!D41),OBPH1)</f>
        <v>17200</v>
      </c>
    </row>
    <row r="57" spans="1:28" ht="12">
      <c r="A57" s="31" t="s">
        <v>12</v>
      </c>
      <c r="B57" s="32" t="s">
        <v>25</v>
      </c>
      <c r="C57" s="31">
        <f>IF(C56=0,0,MIN(ROUNDUP(IF('Manual Data'!E43=1,IF(A57='Manual Data'!N43,ROUND(C56*103%-0.01,0),C56),'Manual Data'!E43),-1),NBPH1))</f>
        <v>38740</v>
      </c>
      <c r="D57" s="33"/>
      <c r="E57" s="33">
        <f t="shared" si="19"/>
        <v>9801</v>
      </c>
      <c r="F57" s="33">
        <f>IF($E$5="No",ROUND(IF('Manual Data'!J43=1%,C57*$L$4,C57*'Manual Data'!J43),0),0)</f>
        <v>7748</v>
      </c>
      <c r="G57" s="33">
        <f>IF(C57=0,0,IF($L$5="Yes",IF('Manual Data'!G43=1,IF(OR($K$5="A",$K$5="A-1"),IF(OR($G$2="E1A",$G$2="E2A"),800,1400),IF(NOT(OR($G$2="E1A",$G$2="E2A")),800,500)),'Manual Data'!G43),0))</f>
        <v>1400</v>
      </c>
      <c r="H57" s="33">
        <v>0</v>
      </c>
      <c r="I57" s="33">
        <f t="shared" si="30"/>
        <v>775</v>
      </c>
      <c r="J57" s="33"/>
      <c r="K57" s="34">
        <f t="shared" si="22"/>
        <v>58464</v>
      </c>
      <c r="L57" s="31">
        <f>IF(C57=0,0,MIN(ROUNDUP(IF('Manual Data'!I43=1,IF(A57='Manual Data'!N43,ROUND(L56*103%-0.01,0),L56),'Manual Data'!I43),-1),HPS))</f>
        <v>40910</v>
      </c>
      <c r="M57" s="33">
        <f t="shared" si="23"/>
        <v>10350</v>
      </c>
      <c r="N57" s="33">
        <f>IF($E$5="No",ROUND(IF('Manual Data'!J43=1%,C57*$L$4,C57*'Manual Data'!J43),0),0)</f>
        <v>7748</v>
      </c>
      <c r="O57" s="33">
        <f t="shared" si="24"/>
        <v>1400</v>
      </c>
      <c r="P57" s="33">
        <f t="shared" si="25"/>
        <v>0</v>
      </c>
      <c r="Q57" s="33">
        <f t="shared" si="31"/>
        <v>775</v>
      </c>
      <c r="R57" s="33">
        <f t="shared" si="27"/>
        <v>0</v>
      </c>
      <c r="S57" s="64">
        <f t="shared" si="28"/>
        <v>61183</v>
      </c>
      <c r="T57" s="35">
        <f t="shared" si="29"/>
        <v>2719</v>
      </c>
      <c r="U57" s="132"/>
      <c r="V57" s="120"/>
      <c r="W57" s="120"/>
      <c r="X57" s="120"/>
      <c r="Y57" s="18">
        <v>25.3</v>
      </c>
      <c r="AB57" s="158">
        <f>MIN(IF('Manual Data'!D42=1,IF(A57=$E$4,AB56+INC1,AB56),'Manual Data'!D42),OBPH1)</f>
        <v>17200</v>
      </c>
    </row>
    <row r="58" spans="1:28" ht="12">
      <c r="A58" s="31" t="s">
        <v>13</v>
      </c>
      <c r="B58" s="32" t="s">
        <v>113</v>
      </c>
      <c r="C58" s="31">
        <f>IF(C57=0,0,MIN(ROUNDUP(IF('Manual Data'!E44=1,IF(A58='Manual Data'!N44,ROUND(C57*103%-0.01,0),C57),'Manual Data'!E44),-1),NBPH1))</f>
        <v>38740</v>
      </c>
      <c r="D58" s="33"/>
      <c r="E58" s="33">
        <f t="shared" si="19"/>
        <v>11971</v>
      </c>
      <c r="F58" s="33">
        <f>IF($E$5="No",ROUND(IF('Manual Data'!J44=1%,C58*$L$4,C58*'Manual Data'!J44),0),0)</f>
        <v>7748</v>
      </c>
      <c r="G58" s="33">
        <f>IF(C58=0,0,IF($L$5="Yes",IF('Manual Data'!G44=1,IF(OR($K$5="A",$K$5="A-1"),IF(OR($G$2="E1A",$G$2="E2A"),800,1400),IF(NOT(OR($G$2="E1A",$G$2="E2A")),800,500)),'Manual Data'!G44),0))</f>
        <v>1400</v>
      </c>
      <c r="H58" s="33">
        <v>0</v>
      </c>
      <c r="I58" s="33">
        <f t="shared" si="30"/>
        <v>775</v>
      </c>
      <c r="J58" s="33"/>
      <c r="K58" s="34">
        <f>SUM(C58:J58)</f>
        <v>60634</v>
      </c>
      <c r="L58" s="31">
        <f>IF(C58=0,0,MIN(ROUNDUP(IF('Manual Data'!I44=1,IF(A58='Manual Data'!N44,ROUND(L57*103%-0.01,0),L57),'Manual Data'!I44),-1),HPS))</f>
        <v>40910</v>
      </c>
      <c r="M58" s="33">
        <f t="shared" si="23"/>
        <v>12641</v>
      </c>
      <c r="N58" s="33">
        <f>IF($E$5="No",ROUND(IF('Manual Data'!J44=1%,C58*$L$4,C58*'Manual Data'!J44),0),0)</f>
        <v>7748</v>
      </c>
      <c r="O58" s="33">
        <f t="shared" si="24"/>
        <v>1400</v>
      </c>
      <c r="P58" s="33">
        <f t="shared" si="25"/>
        <v>0</v>
      </c>
      <c r="Q58" s="33">
        <f t="shared" si="31"/>
        <v>775</v>
      </c>
      <c r="R58" s="33">
        <f t="shared" si="27"/>
        <v>0</v>
      </c>
      <c r="S58" s="64">
        <f t="shared" si="28"/>
        <v>63474</v>
      </c>
      <c r="T58" s="35">
        <f t="shared" si="29"/>
        <v>2840</v>
      </c>
      <c r="U58" s="132"/>
      <c r="V58" s="120"/>
      <c r="W58" s="120"/>
      <c r="X58" s="120"/>
      <c r="Y58" s="18">
        <v>30.9</v>
      </c>
      <c r="AB58" s="158">
        <f>MIN(IF('Manual Data'!D43=1,IF(A58=$E$4,AB57+INC1,AB57),'Manual Data'!D43),OBPH1)</f>
        <v>17200</v>
      </c>
    </row>
    <row r="59" spans="1:28" ht="12">
      <c r="A59" s="31" t="s">
        <v>14</v>
      </c>
      <c r="B59" s="32" t="s">
        <v>113</v>
      </c>
      <c r="C59" s="31">
        <f>IF(C58=0,0,MIN(ROUNDUP(IF('Manual Data'!E45=1,IF(A59='Manual Data'!N45,ROUND(C58*103%-0.01,0),C58),'Manual Data'!E45),-1),NBPH1))</f>
        <v>38740</v>
      </c>
      <c r="D59" s="33"/>
      <c r="E59" s="33">
        <f t="shared" si="19"/>
        <v>11971</v>
      </c>
      <c r="F59" s="33">
        <f>IF($E$5="No",ROUND(IF('Manual Data'!J45=1%,C59*$L$4,C59*'Manual Data'!J45),0),0)</f>
        <v>7748</v>
      </c>
      <c r="G59" s="33">
        <f>IF(C59=0,0,IF($L$5="Yes",IF('Manual Data'!G45=1,IF(OR($K$5="A",$K$5="A-1"),IF(OR($G$2="E1A",$G$2="E2A"),800,1400),IF(NOT(OR($G$2="E1A",$G$2="E2A")),800,500)),'Manual Data'!G45),0))</f>
        <v>1400</v>
      </c>
      <c r="H59" s="33">
        <v>0</v>
      </c>
      <c r="I59" s="33">
        <f t="shared" si="30"/>
        <v>775</v>
      </c>
      <c r="J59" s="33"/>
      <c r="K59" s="34">
        <f aca="true" t="shared" si="32" ref="K59:K69">SUM(C59:J59)</f>
        <v>60634</v>
      </c>
      <c r="L59" s="31">
        <f>IF(C59=0,0,MIN(ROUNDUP(IF('Manual Data'!I45=1,IF(A59='Manual Data'!N45,ROUND(L58*103%-0.01,0),L58),'Manual Data'!I45),-1),HPS))</f>
        <v>40910</v>
      </c>
      <c r="M59" s="33">
        <f t="shared" si="23"/>
        <v>12641</v>
      </c>
      <c r="N59" s="33">
        <f>IF($E$5="No",ROUND(IF('Manual Data'!J45=1%,C59*$L$4,C59*'Manual Data'!J45),0),0)</f>
        <v>7748</v>
      </c>
      <c r="O59" s="33">
        <f t="shared" si="24"/>
        <v>1400</v>
      </c>
      <c r="P59" s="33">
        <f t="shared" si="25"/>
        <v>0</v>
      </c>
      <c r="Q59" s="33">
        <f t="shared" si="31"/>
        <v>775</v>
      </c>
      <c r="R59" s="33">
        <f t="shared" si="27"/>
        <v>0</v>
      </c>
      <c r="S59" s="64">
        <f t="shared" si="28"/>
        <v>63474</v>
      </c>
      <c r="T59" s="35">
        <f t="shared" si="29"/>
        <v>2840</v>
      </c>
      <c r="U59" s="132"/>
      <c r="V59" s="120"/>
      <c r="W59" s="120"/>
      <c r="X59" s="120"/>
      <c r="Y59" s="18">
        <v>30.9</v>
      </c>
      <c r="AB59" s="158">
        <f>MIN(IF('Manual Data'!D44=1,IF(A59=$E$4,AB58+INC1,AB58),'Manual Data'!D44),OBPH1)</f>
        <v>17200</v>
      </c>
    </row>
    <row r="60" spans="1:28" ht="12">
      <c r="A60" s="31" t="s">
        <v>15</v>
      </c>
      <c r="B60" s="32" t="s">
        <v>113</v>
      </c>
      <c r="C60" s="31">
        <f>IF(C59=0,0,MIN(ROUNDUP(IF('Manual Data'!E46=1,IF(A60='Manual Data'!N46,ROUND(C59*103%-0.01,0),C59),'Manual Data'!E46),-1),NBPH1))</f>
        <v>38740</v>
      </c>
      <c r="D60" s="33"/>
      <c r="E60" s="33">
        <f t="shared" si="19"/>
        <v>11971</v>
      </c>
      <c r="F60" s="33">
        <f>IF($E$5="No",ROUND(IF('Manual Data'!J46=1%,C60*$L$4,C60*'Manual Data'!J46),0),0)</f>
        <v>7748</v>
      </c>
      <c r="G60" s="33">
        <f>IF(C60=0,0,IF($L$5="Yes",IF('Manual Data'!G46=1,IF(OR($K$5="A",$K$5="A-1"),IF(OR($G$2="E1A",$G$2="E2A"),800,1400),IF(NOT(OR($G$2="E1A",$G$2="E2A")),800,500)),'Manual Data'!G46),0))</f>
        <v>1400</v>
      </c>
      <c r="H60" s="33">
        <v>0</v>
      </c>
      <c r="I60" s="33">
        <f t="shared" si="30"/>
        <v>775</v>
      </c>
      <c r="J60" s="33"/>
      <c r="K60" s="34">
        <f t="shared" si="32"/>
        <v>60634</v>
      </c>
      <c r="L60" s="31">
        <f>IF(C60=0,0,MIN(ROUNDUP(IF('Manual Data'!I46=1,IF(A60='Manual Data'!N46,ROUND(L59*103%-0.01,0),L59),'Manual Data'!I46),-1),HPS))</f>
        <v>40910</v>
      </c>
      <c r="M60" s="33">
        <f t="shared" si="23"/>
        <v>12641</v>
      </c>
      <c r="N60" s="33">
        <f>IF($E$5="No",ROUND(IF('Manual Data'!J46=1%,C60*$L$4,C60*'Manual Data'!J46),0),0)</f>
        <v>7748</v>
      </c>
      <c r="O60" s="33">
        <f t="shared" si="24"/>
        <v>1400</v>
      </c>
      <c r="P60" s="33">
        <f t="shared" si="25"/>
        <v>0</v>
      </c>
      <c r="Q60" s="33">
        <f t="shared" si="31"/>
        <v>775</v>
      </c>
      <c r="R60" s="33">
        <f t="shared" si="27"/>
        <v>0</v>
      </c>
      <c r="S60" s="64">
        <f t="shared" si="28"/>
        <v>63474</v>
      </c>
      <c r="T60" s="35">
        <f t="shared" si="29"/>
        <v>2840</v>
      </c>
      <c r="U60" s="132"/>
      <c r="V60" s="120"/>
      <c r="W60" s="120"/>
      <c r="X60" s="120"/>
      <c r="Y60" s="18">
        <v>30.9</v>
      </c>
      <c r="AB60" s="158">
        <f>MIN(IF('Manual Data'!D45=1,IF(A60=$E$4,AB59+INC1,AB59),'Manual Data'!D45),OBPH1)</f>
        <v>17200</v>
      </c>
    </row>
    <row r="61" spans="1:28" ht="12">
      <c r="A61" s="31" t="s">
        <v>16</v>
      </c>
      <c r="B61" s="32" t="s">
        <v>113</v>
      </c>
      <c r="C61" s="31">
        <f>IF(C60=0,0,MIN(ROUNDUP(IF('Manual Data'!E47=1,IF(A61='Manual Data'!N47,ROUND(C60*103%-0.01,0),C60),'Manual Data'!E47),-1),NBPH1))</f>
        <v>38740</v>
      </c>
      <c r="D61" s="33"/>
      <c r="E61" s="33">
        <f t="shared" si="19"/>
        <v>13482</v>
      </c>
      <c r="F61" s="33">
        <f>IF($E$5="No",ROUND(IF('Manual Data'!J47=1%,C61*$L$4,C61*'Manual Data'!J47),0),0)</f>
        <v>7748</v>
      </c>
      <c r="G61" s="33">
        <f>IF(C61=0,0,IF($L$5="Yes",IF('Manual Data'!G47=1,IF(OR($K$5="A",$K$5="A-1"),IF(OR($G$2="E1A",$G$2="E2A"),800,1400),IF(NOT(OR($G$2="E1A",$G$2="E2A")),800,500)),'Manual Data'!G47),0))</f>
        <v>1400</v>
      </c>
      <c r="H61" s="33">
        <v>0</v>
      </c>
      <c r="I61" s="33">
        <f t="shared" si="30"/>
        <v>775</v>
      </c>
      <c r="J61" s="33"/>
      <c r="K61" s="34">
        <f t="shared" si="32"/>
        <v>62145</v>
      </c>
      <c r="L61" s="31">
        <f>IF(C61=0,0,MIN(ROUNDUP(IF('Manual Data'!I47=1,IF(A61='Manual Data'!N47,ROUND(L60*103%-0.01,0),L60),'Manual Data'!I47),-1),HPS))</f>
        <v>40910</v>
      </c>
      <c r="M61" s="33">
        <f t="shared" si="23"/>
        <v>14237</v>
      </c>
      <c r="N61" s="33">
        <f>IF($E$5="No",ROUND(IF('Manual Data'!J47=1%,C61*$L$4,C61*'Manual Data'!J47),0),0)</f>
        <v>7748</v>
      </c>
      <c r="O61" s="33">
        <f t="shared" si="24"/>
        <v>1400</v>
      </c>
      <c r="P61" s="33">
        <f t="shared" si="25"/>
        <v>0</v>
      </c>
      <c r="Q61" s="33">
        <f t="shared" si="31"/>
        <v>775</v>
      </c>
      <c r="R61" s="33">
        <f t="shared" si="27"/>
        <v>0</v>
      </c>
      <c r="S61" s="64">
        <f t="shared" si="28"/>
        <v>65070</v>
      </c>
      <c r="T61" s="35">
        <f t="shared" si="29"/>
        <v>2925</v>
      </c>
      <c r="U61" s="132"/>
      <c r="V61" s="120"/>
      <c r="W61" s="120"/>
      <c r="X61" s="120"/>
      <c r="Y61" s="18">
        <v>34.8</v>
      </c>
      <c r="AB61" s="158">
        <f>MIN(IF('Manual Data'!D46=1,IF(A61=$E$4,AB60+INC1,AB60),'Manual Data'!D46),OBPH1)</f>
        <v>17200</v>
      </c>
    </row>
    <row r="62" spans="1:28" ht="12">
      <c r="A62" s="31" t="s">
        <v>17</v>
      </c>
      <c r="B62" s="32" t="s">
        <v>113</v>
      </c>
      <c r="C62" s="31">
        <f>IF(C61=0,0,MIN(ROUNDUP(IF('Manual Data'!E48=1,IF(A62='Manual Data'!N48,ROUND(C61*103%-0.01,0),C61),'Manual Data'!E48),-1),NBPH1))</f>
        <v>38740</v>
      </c>
      <c r="D62" s="33"/>
      <c r="E62" s="33">
        <f t="shared" si="19"/>
        <v>13482</v>
      </c>
      <c r="F62" s="33">
        <f>IF($E$5="No",ROUND(IF('Manual Data'!J48=1%,C62*$L$4,C62*'Manual Data'!J48),0),0)</f>
        <v>7748</v>
      </c>
      <c r="G62" s="33">
        <f>IF(C62=0,0,IF($L$5="Yes",IF('Manual Data'!G48=1,IF(OR($K$5="A",$K$5="A-1"),IF(OR($G$2="E1A",$G$2="E2A"),800,1400),IF(NOT(OR($G$2="E1A",$G$2="E2A")),800,500)),'Manual Data'!G48),0))</f>
        <v>1400</v>
      </c>
      <c r="H62" s="33">
        <v>0</v>
      </c>
      <c r="I62" s="33">
        <f t="shared" si="30"/>
        <v>775</v>
      </c>
      <c r="J62" s="33"/>
      <c r="K62" s="34">
        <f t="shared" si="32"/>
        <v>62145</v>
      </c>
      <c r="L62" s="31">
        <f>IF(C62=0,0,MIN(ROUNDUP(IF('Manual Data'!I48=1,IF(A62='Manual Data'!N48,ROUND(L61*103%-0.01,0),L61),'Manual Data'!I48),-1),HPS))</f>
        <v>40910</v>
      </c>
      <c r="M62" s="33">
        <f t="shared" si="23"/>
        <v>14237</v>
      </c>
      <c r="N62" s="33">
        <f>IF($E$5="No",ROUND(IF('Manual Data'!J48=1%,C62*$L$4,C62*'Manual Data'!J48),0),0)</f>
        <v>7748</v>
      </c>
      <c r="O62" s="33">
        <f t="shared" si="24"/>
        <v>1400</v>
      </c>
      <c r="P62" s="33">
        <f t="shared" si="25"/>
        <v>0</v>
      </c>
      <c r="Q62" s="33">
        <f t="shared" si="31"/>
        <v>775</v>
      </c>
      <c r="R62" s="33">
        <f t="shared" si="27"/>
        <v>0</v>
      </c>
      <c r="S62" s="64">
        <f t="shared" si="28"/>
        <v>65070</v>
      </c>
      <c r="T62" s="35">
        <f t="shared" si="29"/>
        <v>2925</v>
      </c>
      <c r="U62" s="132"/>
      <c r="V62" s="120"/>
      <c r="W62" s="120"/>
      <c r="X62" s="120"/>
      <c r="Y62" s="18">
        <v>34.8</v>
      </c>
      <c r="AB62" s="158">
        <f>MIN(IF('Manual Data'!D47=1,IF(A62=$E$4,AB61+INC1,AB61),'Manual Data'!D47),OBPH1)</f>
        <v>17200</v>
      </c>
    </row>
    <row r="63" spans="1:28" ht="12">
      <c r="A63" s="31" t="s">
        <v>18</v>
      </c>
      <c r="B63" s="32" t="s">
        <v>113</v>
      </c>
      <c r="C63" s="31">
        <f>IF(C62=0,0,MIN(ROUNDUP(IF('Manual Data'!E49=1,IF(A63='Manual Data'!N49,ROUND(C62*103%-0.01,0),C62),'Manual Data'!E49),-1),NBPH1))</f>
        <v>38740</v>
      </c>
      <c r="D63" s="33"/>
      <c r="E63" s="33">
        <f t="shared" si="19"/>
        <v>13482</v>
      </c>
      <c r="F63" s="33">
        <f>IF($E$5="No",ROUND(IF('Manual Data'!J49=1%,C63*$L$4,C63*'Manual Data'!J49),0),0)</f>
        <v>7748</v>
      </c>
      <c r="G63" s="33">
        <f>IF(C63=0,0,IF($L$5="Yes",IF('Manual Data'!G49=1,IF(OR($K$5="A",$K$5="A-1"),IF(OR($G$2="E1A",$G$2="E2A"),800,1400),IF(NOT(OR($G$2="E1A",$G$2="E2A")),800,500)),'Manual Data'!G49),0))</f>
        <v>1400</v>
      </c>
      <c r="H63" s="33">
        <v>0</v>
      </c>
      <c r="I63" s="33">
        <f t="shared" si="30"/>
        <v>775</v>
      </c>
      <c r="J63" s="33"/>
      <c r="K63" s="34">
        <f t="shared" si="32"/>
        <v>62145</v>
      </c>
      <c r="L63" s="31">
        <f>IF(C63=0,0,MIN(ROUNDUP(IF('Manual Data'!I49=1,IF(A63='Manual Data'!N49,ROUND(L62*103%-0.01,0),L62),'Manual Data'!I49),-1),HPS))</f>
        <v>40910</v>
      </c>
      <c r="M63" s="33">
        <f t="shared" si="23"/>
        <v>14237</v>
      </c>
      <c r="N63" s="33">
        <f>IF($E$5="No",ROUND(IF('Manual Data'!J49=1%,C63*$L$4,C63*'Manual Data'!J49),0),0)</f>
        <v>7748</v>
      </c>
      <c r="O63" s="33">
        <f t="shared" si="24"/>
        <v>1400</v>
      </c>
      <c r="P63" s="33">
        <f t="shared" si="25"/>
        <v>0</v>
      </c>
      <c r="Q63" s="33">
        <f t="shared" si="31"/>
        <v>775</v>
      </c>
      <c r="R63" s="33">
        <f t="shared" si="27"/>
        <v>0</v>
      </c>
      <c r="S63" s="64">
        <f t="shared" si="28"/>
        <v>65070</v>
      </c>
      <c r="T63" s="35">
        <f t="shared" si="29"/>
        <v>2925</v>
      </c>
      <c r="U63" s="132"/>
      <c r="V63" s="120"/>
      <c r="W63" s="120"/>
      <c r="X63" s="120"/>
      <c r="Y63" s="18">
        <v>34.8</v>
      </c>
      <c r="AB63" s="158">
        <f>MIN(IF('Manual Data'!D48=1,IF(A63=$E$4,AB62+INC1,AB62),'Manual Data'!D48),OBPH1)</f>
        <v>17200</v>
      </c>
    </row>
    <row r="64" spans="1:28" ht="12">
      <c r="A64" s="31" t="s">
        <v>19</v>
      </c>
      <c r="B64" s="32" t="s">
        <v>113</v>
      </c>
      <c r="C64" s="31">
        <f>IF(C63=0,0,MIN(ROUNDUP(IF('Manual Data'!E50=1,IF(A64='Manual Data'!N50,ROUND(C63*103%-0.01,0),C63),'Manual Data'!E50),-1),NBPH1))</f>
        <v>39910</v>
      </c>
      <c r="D64" s="33"/>
      <c r="E64" s="33">
        <f t="shared" si="19"/>
        <v>14008</v>
      </c>
      <c r="F64" s="33">
        <f>IF($E$5="No",ROUND(IF('Manual Data'!J50=1%,C64*$L$4,C64*'Manual Data'!J50),0),0)</f>
        <v>7982</v>
      </c>
      <c r="G64" s="33">
        <f>IF(C64=0,0,IF($L$5="Yes",IF('Manual Data'!G50=1,IF(OR($K$5="A",$K$5="A-1"),IF(OR($G$2="E1A",$G$2="E2A"),800,1400),IF(NOT(OR($G$2="E1A",$G$2="E2A")),800,500)),'Manual Data'!G50),0))</f>
        <v>1400</v>
      </c>
      <c r="H64" s="33">
        <v>0</v>
      </c>
      <c r="I64" s="33">
        <f t="shared" si="30"/>
        <v>798</v>
      </c>
      <c r="J64" s="33"/>
      <c r="K64" s="34">
        <f t="shared" si="32"/>
        <v>64098</v>
      </c>
      <c r="L64" s="31">
        <f>IF(C64=0,0,MIN(ROUNDUP(IF('Manual Data'!I50=1,IF(A64='Manual Data'!N50,ROUND(L63*103%-0.01,0),L63),'Manual Data'!I50),-1),HPS))</f>
        <v>42140</v>
      </c>
      <c r="M64" s="33">
        <f t="shared" si="23"/>
        <v>14791</v>
      </c>
      <c r="N64" s="33">
        <f>IF($E$5="No",ROUND(IF('Manual Data'!J50=1%,C64*$L$4,C64*'Manual Data'!J50),0),0)</f>
        <v>7982</v>
      </c>
      <c r="O64" s="33">
        <f t="shared" si="24"/>
        <v>1400</v>
      </c>
      <c r="P64" s="33">
        <f t="shared" si="25"/>
        <v>0</v>
      </c>
      <c r="Q64" s="33">
        <f t="shared" si="31"/>
        <v>798</v>
      </c>
      <c r="R64" s="33">
        <f t="shared" si="27"/>
        <v>0</v>
      </c>
      <c r="S64" s="64">
        <f t="shared" si="28"/>
        <v>67111</v>
      </c>
      <c r="T64" s="35">
        <f t="shared" si="29"/>
        <v>3013</v>
      </c>
      <c r="U64" s="132"/>
      <c r="V64" s="120"/>
      <c r="W64" s="120"/>
      <c r="X64" s="120"/>
      <c r="Y64" s="18">
        <v>35.1</v>
      </c>
      <c r="AB64" s="158">
        <f>MIN(IF('Manual Data'!D49=1,IF(A64=$E$4,AB63+INC1,AB63),'Manual Data'!D49),OBPH1)</f>
        <v>17550</v>
      </c>
    </row>
    <row r="65" spans="1:28" ht="12">
      <c r="A65" s="31" t="s">
        <v>20</v>
      </c>
      <c r="B65" s="32" t="s">
        <v>113</v>
      </c>
      <c r="C65" s="31">
        <f>IF(C64=0,0,MIN(ROUNDUP(IF('Manual Data'!E51=1,IF(A65='Manual Data'!N51,ROUND(C64*103%-0.01,0),C64),'Manual Data'!E51),-1),NBPH1))</f>
        <v>39910</v>
      </c>
      <c r="D65" s="33"/>
      <c r="E65" s="33">
        <f t="shared" si="19"/>
        <v>14008</v>
      </c>
      <c r="F65" s="33">
        <f>IF($E$5="No",ROUND(IF('Manual Data'!J51=1%,C65*$L$4,C65*'Manual Data'!J51),0),0)</f>
        <v>7982</v>
      </c>
      <c r="G65" s="33">
        <f>IF(C65=0,0,IF($L$5="Yes",IF('Manual Data'!G51=1,IF(OR($K$5="A",$K$5="A-1"),IF(OR($G$2="E1A",$G$2="E2A"),800,1400),IF(NOT(OR($G$2="E1A",$G$2="E2A")),800,500)),'Manual Data'!G51),0))</f>
        <v>1400</v>
      </c>
      <c r="H65" s="33">
        <v>0</v>
      </c>
      <c r="I65" s="33">
        <f t="shared" si="30"/>
        <v>798</v>
      </c>
      <c r="J65" s="33"/>
      <c r="K65" s="34">
        <f t="shared" si="32"/>
        <v>64098</v>
      </c>
      <c r="L65" s="31">
        <f>IF(C65=0,0,MIN(ROUNDUP(IF('Manual Data'!I51=1,IF(A65='Manual Data'!N51,ROUND(L64*103%-0.01,0),L64),'Manual Data'!I51),-1),HPS))</f>
        <v>42140</v>
      </c>
      <c r="M65" s="33">
        <f t="shared" si="23"/>
        <v>14791</v>
      </c>
      <c r="N65" s="33">
        <f>IF($E$5="No",ROUND(IF('Manual Data'!J51=1%,C65*$L$4,C65*'Manual Data'!J51),0),0)</f>
        <v>7982</v>
      </c>
      <c r="O65" s="33">
        <f t="shared" si="24"/>
        <v>1400</v>
      </c>
      <c r="P65" s="33">
        <f t="shared" si="25"/>
        <v>0</v>
      </c>
      <c r="Q65" s="33">
        <f t="shared" si="31"/>
        <v>798</v>
      </c>
      <c r="R65" s="33">
        <f t="shared" si="27"/>
        <v>0</v>
      </c>
      <c r="S65" s="64">
        <f t="shared" si="28"/>
        <v>67111</v>
      </c>
      <c r="T65" s="35">
        <f t="shared" si="29"/>
        <v>3013</v>
      </c>
      <c r="U65" s="132"/>
      <c r="V65" s="120"/>
      <c r="W65" s="120"/>
      <c r="X65" s="120"/>
      <c r="Y65" s="18">
        <v>35.1</v>
      </c>
      <c r="AB65" s="158">
        <f>MIN(IF('Manual Data'!D50=1,IF(A65=$E$4,AB64+INC1,AB64),'Manual Data'!D50),OBPH1)</f>
        <v>17550</v>
      </c>
    </row>
    <row r="66" spans="1:28" ht="12">
      <c r="A66" s="31" t="s">
        <v>21</v>
      </c>
      <c r="B66" s="32" t="s">
        <v>113</v>
      </c>
      <c r="C66" s="31">
        <f>IF(C65=0,0,MIN(ROUNDUP(IF('Manual Data'!E52=1,IF(A66='Manual Data'!N52,ROUND(C65*103%-0.01,0),C65),'Manual Data'!E52),-1),NBPH1))</f>
        <v>39910</v>
      </c>
      <c r="D66" s="33"/>
      <c r="E66" s="33">
        <f t="shared" si="19"/>
        <v>14008</v>
      </c>
      <c r="F66" s="33">
        <f>IF($E$5="No",ROUND(IF('Manual Data'!J52=1%,C66*$L$4,C66*'Manual Data'!J52),0),0)</f>
        <v>7982</v>
      </c>
      <c r="G66" s="33">
        <f>IF(C66=0,0,IF($L$5="Yes",IF('Manual Data'!G52=1,IF(OR($K$5="A",$K$5="A-1"),IF(OR($G$2="E1A",$G$2="E2A"),800,1400),IF(NOT(OR($G$2="E1A",$G$2="E2A")),800,500)),'Manual Data'!G52),0))</f>
        <v>1400</v>
      </c>
      <c r="H66" s="33">
        <v>0</v>
      </c>
      <c r="I66" s="33">
        <f t="shared" si="30"/>
        <v>798</v>
      </c>
      <c r="J66" s="33"/>
      <c r="K66" s="34">
        <f t="shared" si="32"/>
        <v>64098</v>
      </c>
      <c r="L66" s="31">
        <f>IF(C66=0,0,MIN(ROUNDUP(IF('Manual Data'!I52=1,IF(A66='Manual Data'!N52,ROUND(L65*103%-0.01,0),L65),'Manual Data'!I52),-1),HPS))</f>
        <v>42140</v>
      </c>
      <c r="M66" s="33">
        <f t="shared" si="23"/>
        <v>14791</v>
      </c>
      <c r="N66" s="33">
        <f>IF($E$5="No",ROUND(IF('Manual Data'!J52=1%,C66*$L$4,C66*'Manual Data'!J52),0),0)</f>
        <v>7982</v>
      </c>
      <c r="O66" s="33">
        <f t="shared" si="24"/>
        <v>1400</v>
      </c>
      <c r="P66" s="33">
        <f t="shared" si="25"/>
        <v>0</v>
      </c>
      <c r="Q66" s="33">
        <f t="shared" si="31"/>
        <v>798</v>
      </c>
      <c r="R66" s="33">
        <f t="shared" si="27"/>
        <v>0</v>
      </c>
      <c r="S66" s="64">
        <f t="shared" si="28"/>
        <v>67111</v>
      </c>
      <c r="T66" s="35">
        <f t="shared" si="29"/>
        <v>3013</v>
      </c>
      <c r="U66" s="132"/>
      <c r="V66" s="120"/>
      <c r="W66" s="120"/>
      <c r="X66" s="120"/>
      <c r="Y66" s="18">
        <v>35.1</v>
      </c>
      <c r="AB66" s="158">
        <f>MIN(IF('Manual Data'!D51=1,IF(A66=$E$4,AB65+INC1,AB65),'Manual Data'!D51),OBPH1)</f>
        <v>17550</v>
      </c>
    </row>
    <row r="67" spans="1:28" ht="12">
      <c r="A67" s="31" t="s">
        <v>1</v>
      </c>
      <c r="B67" s="32" t="s">
        <v>113</v>
      </c>
      <c r="C67" s="31">
        <f>IF(C66=0,0,MIN(ROUNDUP(IF('Manual Data'!E53=1,IF(A67='Manual Data'!N53,ROUND(C66*103%-0.01,0),C66),'Manual Data'!E53),-1),NBPH1))</f>
        <v>39910</v>
      </c>
      <c r="D67" s="33"/>
      <c r="E67" s="33">
        <f t="shared" si="19"/>
        <v>15884</v>
      </c>
      <c r="F67" s="33">
        <f>IF($E$5="No",ROUND(IF('Manual Data'!J53=1%,C67*$L$4,C67*'Manual Data'!J53),0),0)</f>
        <v>7982</v>
      </c>
      <c r="G67" s="33">
        <f>IF(C67=0,0,IF($L$5="Yes",IF('Manual Data'!G53=1,IF(OR($K$5="A",$K$5="A-1"),IF(OR($G$2="E1A",$G$2="E2A"),800,1400),IF(NOT(OR($G$2="E1A",$G$2="E2A")),800,500)),'Manual Data'!G53),0))</f>
        <v>1400</v>
      </c>
      <c r="H67" s="33">
        <v>0</v>
      </c>
      <c r="I67" s="33">
        <f t="shared" si="30"/>
        <v>798</v>
      </c>
      <c r="J67" s="33"/>
      <c r="K67" s="34">
        <f t="shared" si="32"/>
        <v>65974</v>
      </c>
      <c r="L67" s="31">
        <f>IF(C67=0,0,MIN(ROUNDUP(IF('Manual Data'!I53=1,IF(A67='Manual Data'!N53,ROUND(L66*103%-0.01,0),L66),'Manual Data'!I53),-1),HPS))</f>
        <v>42140</v>
      </c>
      <c r="M67" s="33">
        <f t="shared" si="23"/>
        <v>16772</v>
      </c>
      <c r="N67" s="33">
        <f>IF($E$5="No",ROUND(IF('Manual Data'!J53=1%,C67*$L$4,C67*'Manual Data'!J53),0),0)</f>
        <v>7982</v>
      </c>
      <c r="O67" s="33">
        <f t="shared" si="24"/>
        <v>1400</v>
      </c>
      <c r="P67" s="33">
        <f t="shared" si="25"/>
        <v>0</v>
      </c>
      <c r="Q67" s="33">
        <f t="shared" si="31"/>
        <v>798</v>
      </c>
      <c r="R67" s="33">
        <f t="shared" si="27"/>
        <v>0</v>
      </c>
      <c r="S67" s="64">
        <f t="shared" si="28"/>
        <v>69092</v>
      </c>
      <c r="T67" s="35">
        <f t="shared" si="29"/>
        <v>3118</v>
      </c>
      <c r="U67" s="132"/>
      <c r="V67" s="120"/>
      <c r="W67" s="120"/>
      <c r="X67" s="120"/>
      <c r="Y67" s="18">
        <v>39.8</v>
      </c>
      <c r="AB67" s="158">
        <f>MIN(IF('Manual Data'!D52=1,IF(A67=$E$4,AB66+INC1,AB66),'Manual Data'!D52),OBPH1)</f>
        <v>17550</v>
      </c>
    </row>
    <row r="68" spans="1:28" ht="12">
      <c r="A68" s="31" t="s">
        <v>11</v>
      </c>
      <c r="B68" s="32" t="s">
        <v>113</v>
      </c>
      <c r="C68" s="31">
        <f>IF(C67=0,0,MIN(ROUNDUP(IF('Manual Data'!E54=1,IF(A68='Manual Data'!N54,ROUND(C67*103%-0.01,0),C67),'Manual Data'!E54),-1),NBPH1))</f>
        <v>39910</v>
      </c>
      <c r="D68" s="33"/>
      <c r="E68" s="33">
        <f t="shared" si="19"/>
        <v>15884</v>
      </c>
      <c r="F68" s="33">
        <f>IF($E$5="No",ROUND(IF('Manual Data'!J54=1%,C68*$L$4,C68*'Manual Data'!J54),0),0)</f>
        <v>7982</v>
      </c>
      <c r="G68" s="33">
        <f>IF(C68=0,0,IF($L$5="Yes",IF('Manual Data'!G54=1,IF(OR($K$5="A",$K$5="A-1"),IF(OR($G$2="E1A",$G$2="E2A"),800,1400),IF(NOT(OR($G$2="E1A",$G$2="E2A")),800,500)),'Manual Data'!G54),0))</f>
        <v>1400</v>
      </c>
      <c r="H68" s="33">
        <v>0</v>
      </c>
      <c r="I68" s="33">
        <f t="shared" si="30"/>
        <v>798</v>
      </c>
      <c r="J68" s="33"/>
      <c r="K68" s="34">
        <f t="shared" si="32"/>
        <v>65974</v>
      </c>
      <c r="L68" s="31">
        <f>IF(C68=0,0,MIN(ROUNDUP(IF('Manual Data'!I54=1,IF(A68='Manual Data'!N54,ROUND(L67*103%-0.01,0),L67),'Manual Data'!I54),-1),HPS))</f>
        <v>42140</v>
      </c>
      <c r="M68" s="33">
        <f t="shared" si="23"/>
        <v>16772</v>
      </c>
      <c r="N68" s="33">
        <f>IF($E$5="No",ROUND(IF('Manual Data'!J54=1%,C68*$L$4,C68*'Manual Data'!J54),0),0)</f>
        <v>7982</v>
      </c>
      <c r="O68" s="33">
        <f t="shared" si="24"/>
        <v>1400</v>
      </c>
      <c r="P68" s="33">
        <f t="shared" si="25"/>
        <v>0</v>
      </c>
      <c r="Q68" s="33">
        <f t="shared" si="31"/>
        <v>798</v>
      </c>
      <c r="R68" s="33">
        <f t="shared" si="27"/>
        <v>0</v>
      </c>
      <c r="S68" s="64">
        <f t="shared" si="28"/>
        <v>69092</v>
      </c>
      <c r="T68" s="35">
        <f t="shared" si="29"/>
        <v>3118</v>
      </c>
      <c r="U68" s="132"/>
      <c r="V68" s="120"/>
      <c r="W68" s="120"/>
      <c r="X68" s="120"/>
      <c r="Y68" s="18">
        <v>39.8</v>
      </c>
      <c r="AB68" s="158">
        <f>MIN(IF('Manual Data'!D53=1,IF(A68=$E$4,AB67+INC1,AB67),'Manual Data'!D53),OBPH1)</f>
        <v>17550</v>
      </c>
    </row>
    <row r="69" spans="1:28" ht="12">
      <c r="A69" s="31" t="s">
        <v>12</v>
      </c>
      <c r="B69" s="32" t="s">
        <v>113</v>
      </c>
      <c r="C69" s="31">
        <f>IF(C68=0,0,MIN(ROUNDUP(IF('Manual Data'!E55=1,IF(A69='Manual Data'!N55,ROUND(C68*103%-0.01,0),C68),'Manual Data'!E55),-1),NBPH1))</f>
        <v>39910</v>
      </c>
      <c r="D69" s="33"/>
      <c r="E69" s="33">
        <f t="shared" si="19"/>
        <v>15884</v>
      </c>
      <c r="F69" s="33">
        <f>IF($E$5="No",ROUND(IF('Manual Data'!J55=1%,C69*$L$4,C69*'Manual Data'!J55),0),0)</f>
        <v>7982</v>
      </c>
      <c r="G69" s="33">
        <f>IF(C69=0,0,IF($L$5="Yes",IF('Manual Data'!G55=1,IF(OR($K$5="A",$K$5="A-1"),IF(OR($G$2="E1A",$G$2="E2A"),800,1400),IF(NOT(OR($G$2="E1A",$G$2="E2A")),800,500)),'Manual Data'!G55),0))</f>
        <v>1400</v>
      </c>
      <c r="H69" s="33">
        <v>0</v>
      </c>
      <c r="I69" s="33">
        <f t="shared" si="30"/>
        <v>798</v>
      </c>
      <c r="J69" s="33"/>
      <c r="K69" s="34">
        <f t="shared" si="32"/>
        <v>65974</v>
      </c>
      <c r="L69" s="31">
        <f>IF(C69=0,0,MIN(ROUNDUP(IF('Manual Data'!I55=1,IF(A69='Manual Data'!N55,ROUND(L68*103%-0.01,0),L68),'Manual Data'!I55),-1),HPS))</f>
        <v>42140</v>
      </c>
      <c r="M69" s="33">
        <f t="shared" si="23"/>
        <v>16772</v>
      </c>
      <c r="N69" s="33">
        <f>IF($E$5="No",ROUND(IF('Manual Data'!J55=1%,C69*$L$4,C69*'Manual Data'!J55),0),0)</f>
        <v>7982</v>
      </c>
      <c r="O69" s="33">
        <f t="shared" si="24"/>
        <v>1400</v>
      </c>
      <c r="P69" s="33">
        <f t="shared" si="25"/>
        <v>0</v>
      </c>
      <c r="Q69" s="33">
        <f t="shared" si="31"/>
        <v>798</v>
      </c>
      <c r="R69" s="33">
        <f t="shared" si="27"/>
        <v>0</v>
      </c>
      <c r="S69" s="64">
        <f t="shared" si="28"/>
        <v>69092</v>
      </c>
      <c r="T69" s="35">
        <f t="shared" si="29"/>
        <v>3118</v>
      </c>
      <c r="U69" s="132"/>
      <c r="V69" s="120"/>
      <c r="W69" s="120"/>
      <c r="X69" s="120"/>
      <c r="Y69" s="18">
        <v>39.8</v>
      </c>
      <c r="AB69" s="158">
        <f>MIN(IF('Manual Data'!D54=1,IF(A69=$E$4,AB68+INC1,AB68),'Manual Data'!D54),OBPH1)</f>
        <v>17550</v>
      </c>
    </row>
    <row r="70" spans="1:28" ht="12">
      <c r="A70" s="31" t="s">
        <v>13</v>
      </c>
      <c r="B70" s="32" t="s">
        <v>114</v>
      </c>
      <c r="C70" s="31">
        <f>IF(C69=0,0,MIN(ROUNDUP(IF('Manual Data'!E56=1,IF(A70='Manual Data'!N56,ROUND(C69*103%-0.01,0),C69),'Manual Data'!E56),-1),NBPH1))</f>
        <v>39910</v>
      </c>
      <c r="D70" s="33"/>
      <c r="E70" s="33">
        <f t="shared" si="19"/>
        <v>17161</v>
      </c>
      <c r="F70" s="33">
        <f>IF($E$5="No",ROUND(IF('Manual Data'!J56=1%,C70*$L$4,C70*'Manual Data'!J56),0),0)</f>
        <v>7982</v>
      </c>
      <c r="G70" s="33">
        <f>IF(C70=0,0,IF($L$5="Yes",IF('Manual Data'!G56=1,IF(OR($K$5="A",$K$5="A-1"),IF(OR($G$2="E1A",$G$2="E2A"),800,1400),IF(NOT(OR($G$2="E1A",$G$2="E2A")),800,500)),'Manual Data'!G56),0))</f>
        <v>1400</v>
      </c>
      <c r="H70" s="33">
        <v>0</v>
      </c>
      <c r="I70" s="33">
        <f aca="true" t="shared" si="33" ref="I70:I78">ROUND(C70*2%,0)</f>
        <v>798</v>
      </c>
      <c r="J70" s="33"/>
      <c r="K70" s="34">
        <f aca="true" t="shared" si="34" ref="K70:K78">SUM(C70:J70)</f>
        <v>67251</v>
      </c>
      <c r="L70" s="31">
        <f>IF(C70=0,0,MIN(ROUNDUP(IF('Manual Data'!I56=1,IF(A70='Manual Data'!N56,ROUND(L69*103%-0.01,0),L69),'Manual Data'!I56),-1),HPS))</f>
        <v>42140</v>
      </c>
      <c r="M70" s="33">
        <f t="shared" si="23"/>
        <v>18120</v>
      </c>
      <c r="N70" s="33">
        <f>IF($E$5="No",ROUND(IF('Manual Data'!J56=1%,C70*$L$4,C70*'Manual Data'!J56),0),0)</f>
        <v>7982</v>
      </c>
      <c r="O70" s="33">
        <f t="shared" si="24"/>
        <v>1400</v>
      </c>
      <c r="P70" s="33">
        <f t="shared" si="25"/>
        <v>0</v>
      </c>
      <c r="Q70" s="33">
        <f t="shared" si="31"/>
        <v>798</v>
      </c>
      <c r="R70" s="33">
        <f t="shared" si="27"/>
        <v>0</v>
      </c>
      <c r="S70" s="64">
        <f t="shared" si="28"/>
        <v>70440</v>
      </c>
      <c r="T70" s="35">
        <f t="shared" si="29"/>
        <v>3189</v>
      </c>
      <c r="U70" s="132"/>
      <c r="V70" s="120"/>
      <c r="W70" s="120"/>
      <c r="X70" s="120"/>
      <c r="Y70" s="18">
        <v>43</v>
      </c>
      <c r="AB70" s="158">
        <f>MIN(IF('Manual Data'!D55=1,IF(A70=$E$4,AB69+INC1,AB69),'Manual Data'!D55),OBPH1)</f>
        <v>17550</v>
      </c>
    </row>
    <row r="71" spans="1:28" ht="12">
      <c r="A71" s="31" t="s">
        <v>14</v>
      </c>
      <c r="B71" s="32" t="s">
        <v>114</v>
      </c>
      <c r="C71" s="31">
        <f>IF(C70=0,0,MIN(ROUNDUP(IF('Manual Data'!E57=1,IF(A71='Manual Data'!N57,ROUND(C70*103%-0.01,0),C70),'Manual Data'!E57),-1),NBPH1))</f>
        <v>39910</v>
      </c>
      <c r="D71" s="33"/>
      <c r="E71" s="33">
        <f t="shared" si="19"/>
        <v>17161</v>
      </c>
      <c r="F71" s="33">
        <f>IF($E$5="No",ROUND(IF('Manual Data'!J57=1%,C71*$L$4,C71*'Manual Data'!J57),0),0)</f>
        <v>7982</v>
      </c>
      <c r="G71" s="33">
        <f>IF(C71=0,0,IF($L$5="Yes",IF('Manual Data'!G57=1,IF(OR($K$5="A",$K$5="A-1"),IF(OR($G$2="E1A",$G$2="E2A"),800,1400),IF(NOT(OR($G$2="E1A",$G$2="E2A")),800,500)),'Manual Data'!G57),0))</f>
        <v>1400</v>
      </c>
      <c r="H71" s="33">
        <v>0</v>
      </c>
      <c r="I71" s="33">
        <f t="shared" si="33"/>
        <v>798</v>
      </c>
      <c r="J71" s="33"/>
      <c r="K71" s="34">
        <f t="shared" si="34"/>
        <v>67251</v>
      </c>
      <c r="L71" s="31">
        <f>IF(C71=0,0,MIN(ROUNDUP(IF('Manual Data'!I57=1,IF(A71='Manual Data'!N57,ROUND(L70*103%-0.01,0),L70),'Manual Data'!I57),-1),HPS))</f>
        <v>42140</v>
      </c>
      <c r="M71" s="33">
        <f t="shared" si="23"/>
        <v>18120</v>
      </c>
      <c r="N71" s="33">
        <f>IF($E$5="No",ROUND(IF('Manual Data'!J57=1%,C71*$L$4,C71*'Manual Data'!J57),0),0)</f>
        <v>7982</v>
      </c>
      <c r="O71" s="33">
        <f t="shared" si="24"/>
        <v>1400</v>
      </c>
      <c r="P71" s="33">
        <f t="shared" si="25"/>
        <v>0</v>
      </c>
      <c r="Q71" s="33">
        <f t="shared" si="31"/>
        <v>798</v>
      </c>
      <c r="R71" s="33">
        <f t="shared" si="27"/>
        <v>0</v>
      </c>
      <c r="S71" s="64">
        <f t="shared" si="28"/>
        <v>70440</v>
      </c>
      <c r="T71" s="35">
        <f t="shared" si="29"/>
        <v>3189</v>
      </c>
      <c r="U71" s="132"/>
      <c r="V71" s="120"/>
      <c r="W71" s="120"/>
      <c r="X71" s="120"/>
      <c r="Y71" s="18">
        <v>43</v>
      </c>
      <c r="AB71" s="158">
        <f>MIN(IF('Manual Data'!D56=1,IF(A71=$E$4,AB70+INC1,AB70),'Manual Data'!D56),OBPH1)</f>
        <v>17550</v>
      </c>
    </row>
    <row r="72" spans="1:28" ht="12">
      <c r="A72" s="31" t="s">
        <v>15</v>
      </c>
      <c r="B72" s="32" t="s">
        <v>114</v>
      </c>
      <c r="C72" s="31">
        <f>IF(C71=0,0,MIN(ROUNDUP(IF('Manual Data'!E58=1,IF(A72='Manual Data'!N58,ROUND(C71*103%-0.01,0),C71),'Manual Data'!E58),-1),NBPH1))</f>
        <v>39910</v>
      </c>
      <c r="D72" s="33"/>
      <c r="E72" s="33">
        <f t="shared" si="19"/>
        <v>17161</v>
      </c>
      <c r="F72" s="33">
        <f>IF($E$5="No",ROUND(IF('Manual Data'!J58=1%,C72*$L$4,C72*'Manual Data'!J58),0),0)</f>
        <v>7982</v>
      </c>
      <c r="G72" s="33">
        <f>IF(C72=0,0,IF($L$5="Yes",IF('Manual Data'!G58=1,IF(OR($K$5="A",$K$5="A-1"),IF(OR($G$2="E1A",$G$2="E2A"),800,1400),IF(NOT(OR($G$2="E1A",$G$2="E2A")),800,500)),'Manual Data'!G58),0))</f>
        <v>1400</v>
      </c>
      <c r="H72" s="33">
        <v>0</v>
      </c>
      <c r="I72" s="33">
        <f t="shared" si="33"/>
        <v>798</v>
      </c>
      <c r="J72" s="33"/>
      <c r="K72" s="34">
        <f t="shared" si="34"/>
        <v>67251</v>
      </c>
      <c r="L72" s="31">
        <f>IF(C72=0,0,MIN(ROUNDUP(IF('Manual Data'!I58=1,IF(A72='Manual Data'!N58,ROUND(L71*103%-0.01,0),L71),'Manual Data'!I58),-1),HPS))</f>
        <v>42140</v>
      </c>
      <c r="M72" s="33">
        <f t="shared" si="23"/>
        <v>18120</v>
      </c>
      <c r="N72" s="33">
        <f>IF($E$5="No",ROUND(IF('Manual Data'!J58=1%,C72*$L$4,C72*'Manual Data'!J58),0),0)</f>
        <v>7982</v>
      </c>
      <c r="O72" s="33">
        <f t="shared" si="24"/>
        <v>1400</v>
      </c>
      <c r="P72" s="33">
        <f t="shared" si="25"/>
        <v>0</v>
      </c>
      <c r="Q72" s="33">
        <f t="shared" si="31"/>
        <v>798</v>
      </c>
      <c r="R72" s="33">
        <f t="shared" si="27"/>
        <v>0</v>
      </c>
      <c r="S72" s="64">
        <f t="shared" si="28"/>
        <v>70440</v>
      </c>
      <c r="T72" s="35">
        <f t="shared" si="29"/>
        <v>3189</v>
      </c>
      <c r="U72" s="132"/>
      <c r="V72" s="120"/>
      <c r="W72" s="120"/>
      <c r="X72" s="120"/>
      <c r="Y72" s="18">
        <v>43</v>
      </c>
      <c r="AB72" s="158">
        <f>MIN(IF('Manual Data'!D57=1,IF(A72=$E$4,AB71+INC1,AB71),'Manual Data'!D57),OBPH1)</f>
        <v>17550</v>
      </c>
    </row>
    <row r="73" spans="1:28" ht="12">
      <c r="A73" s="31" t="s">
        <v>16</v>
      </c>
      <c r="B73" s="32" t="s">
        <v>114</v>
      </c>
      <c r="C73" s="31">
        <f>IF(C72=0,0,MIN(ROUNDUP(IF('Manual Data'!E59=1,IF(A73='Manual Data'!N59,ROUND(C72*103%-0.01,0),C72),'Manual Data'!E59),-1),NBPH1))</f>
        <v>39910</v>
      </c>
      <c r="D73" s="33"/>
      <c r="E73" s="33">
        <f t="shared" si="19"/>
        <v>18838</v>
      </c>
      <c r="F73" s="33">
        <f>IF($E$5="No",ROUND(IF('Manual Data'!J59=1%,C73*$L$4,C73*'Manual Data'!J59),0),0)</f>
        <v>7982</v>
      </c>
      <c r="G73" s="33">
        <f>IF(C73=0,0,IF($L$5="Yes",IF('Manual Data'!G59=1,IF(OR($K$5="A",$K$5="A-1"),IF(OR($G$2="E1A",$G$2="E2A"),800,1400),IF(NOT(OR($G$2="E1A",$G$2="E2A")),800,500)),'Manual Data'!G59),0))</f>
        <v>1400</v>
      </c>
      <c r="H73" s="33">
        <v>0</v>
      </c>
      <c r="I73" s="33">
        <f t="shared" si="33"/>
        <v>798</v>
      </c>
      <c r="J73" s="33"/>
      <c r="K73" s="34">
        <f t="shared" si="34"/>
        <v>68928</v>
      </c>
      <c r="L73" s="31">
        <f>IF(C73=0,0,MIN(ROUNDUP(IF('Manual Data'!I59=1,IF(A73='Manual Data'!N59,ROUND(L72*103%-0.01,0),L72),'Manual Data'!I59),-1),HPS))</f>
        <v>42140</v>
      </c>
      <c r="M73" s="33">
        <f t="shared" si="23"/>
        <v>19890</v>
      </c>
      <c r="N73" s="33">
        <f>IF($E$5="No",ROUND(IF('Manual Data'!J59=1%,C73*$L$4,C73*'Manual Data'!J59),0),0)</f>
        <v>7982</v>
      </c>
      <c r="O73" s="33">
        <f t="shared" si="24"/>
        <v>1400</v>
      </c>
      <c r="P73" s="33">
        <f t="shared" si="25"/>
        <v>0</v>
      </c>
      <c r="Q73" s="33">
        <f t="shared" si="31"/>
        <v>798</v>
      </c>
      <c r="R73" s="33">
        <f t="shared" si="27"/>
        <v>0</v>
      </c>
      <c r="S73" s="64">
        <f t="shared" si="28"/>
        <v>72210</v>
      </c>
      <c r="T73" s="35">
        <f t="shared" si="29"/>
        <v>3282</v>
      </c>
      <c r="U73" s="55"/>
      <c r="V73" s="120"/>
      <c r="W73" s="120"/>
      <c r="X73" s="120"/>
      <c r="Y73" s="18">
        <v>47.2</v>
      </c>
      <c r="AB73" s="158">
        <f>MIN(IF('Manual Data'!D58=1,IF(A73=$E$4,AB72+INC1,AB72),'Manual Data'!D58),OBPH1)</f>
        <v>17550</v>
      </c>
    </row>
    <row r="74" spans="1:28" ht="12">
      <c r="A74" s="31" t="s">
        <v>17</v>
      </c>
      <c r="B74" s="32" t="s">
        <v>114</v>
      </c>
      <c r="C74" s="31">
        <f>IF(C73=0,0,MIN(ROUNDUP(IF('Manual Data'!E60=1,IF(A74='Manual Data'!N60,ROUND(C73*103%-0.01,0),C73),'Manual Data'!E60),-1),NBPH1))</f>
        <v>39910</v>
      </c>
      <c r="D74" s="33"/>
      <c r="E74" s="33">
        <f t="shared" si="19"/>
        <v>18838</v>
      </c>
      <c r="F74" s="33">
        <f>IF($E$5="No",ROUND(IF('Manual Data'!J60=1%,C74*$L$4,C74*'Manual Data'!J60),0),0)</f>
        <v>7982</v>
      </c>
      <c r="G74" s="33">
        <f>IF(C74=0,0,IF($L$5="Yes",IF('Manual Data'!G60=1,IF(OR($K$5="A",$K$5="A-1"),IF(OR($G$2="E1A",$G$2="E2A"),800,1400),IF(NOT(OR($G$2="E1A",$G$2="E2A")),800,500)),'Manual Data'!G60),0))</f>
        <v>1400</v>
      </c>
      <c r="H74" s="33">
        <v>0</v>
      </c>
      <c r="I74" s="33">
        <f t="shared" si="33"/>
        <v>798</v>
      </c>
      <c r="J74" s="33"/>
      <c r="K74" s="34">
        <f t="shared" si="34"/>
        <v>68928</v>
      </c>
      <c r="L74" s="31">
        <f>IF(C74=0,0,MIN(ROUNDUP(IF('Manual Data'!I60=1,IF(A74='Manual Data'!N60,ROUND(L73*103%-0.01,0),L73),'Manual Data'!I60),-1),HPS))</f>
        <v>42140</v>
      </c>
      <c r="M74" s="33">
        <f t="shared" si="23"/>
        <v>19890</v>
      </c>
      <c r="N74" s="33">
        <f>IF($E$5="No",ROUND(IF('Manual Data'!J60=1%,C74*$L$4,C74*'Manual Data'!J60),0),0)</f>
        <v>7982</v>
      </c>
      <c r="O74" s="33">
        <f t="shared" si="24"/>
        <v>1400</v>
      </c>
      <c r="P74" s="33">
        <f t="shared" si="25"/>
        <v>0</v>
      </c>
      <c r="Q74" s="33">
        <f t="shared" si="31"/>
        <v>798</v>
      </c>
      <c r="R74" s="33">
        <f t="shared" si="27"/>
        <v>0</v>
      </c>
      <c r="S74" s="64">
        <f t="shared" si="28"/>
        <v>72210</v>
      </c>
      <c r="T74" s="35">
        <f t="shared" si="29"/>
        <v>3282</v>
      </c>
      <c r="U74" s="55"/>
      <c r="V74" s="120"/>
      <c r="W74" s="120"/>
      <c r="X74" s="120"/>
      <c r="Y74" s="18">
        <v>47.2</v>
      </c>
      <c r="AB74" s="158">
        <f>MIN(IF('Manual Data'!D59=1,IF(A74=$E$4,AB73+INC1,AB73),'Manual Data'!D59),OBPH1)</f>
        <v>17550</v>
      </c>
    </row>
    <row r="75" spans="1:28" ht="12">
      <c r="A75" s="31" t="s">
        <v>18</v>
      </c>
      <c r="B75" s="32" t="s">
        <v>114</v>
      </c>
      <c r="C75" s="31">
        <f>IF(C74=0,0,MIN(ROUNDUP(IF('Manual Data'!E61=1,IF(A75='Manual Data'!N61,ROUND(C74*103%-0.01,0),C74),'Manual Data'!E61),-1),NBPH1))</f>
        <v>39910</v>
      </c>
      <c r="D75" s="33"/>
      <c r="E75" s="33">
        <f t="shared" si="19"/>
        <v>18838</v>
      </c>
      <c r="F75" s="33">
        <f>IF($E$5="No",ROUND(IF('Manual Data'!J61=1%,C75*$L$4,C75*'Manual Data'!J61),0),0)</f>
        <v>7982</v>
      </c>
      <c r="G75" s="33">
        <f>IF(C75=0,0,IF($L$5="Yes",IF('Manual Data'!G61=1,IF(OR($K$5="A",$K$5="A-1"),IF(OR($G$2="E1A",$G$2="E2A"),800,1400),IF(NOT(OR($G$2="E1A",$G$2="E2A")),800,500)),'Manual Data'!G61),0))</f>
        <v>1400</v>
      </c>
      <c r="H75" s="33">
        <v>0</v>
      </c>
      <c r="I75" s="33">
        <f t="shared" si="33"/>
        <v>798</v>
      </c>
      <c r="J75" s="33"/>
      <c r="K75" s="34">
        <f t="shared" si="34"/>
        <v>68928</v>
      </c>
      <c r="L75" s="31">
        <f>IF(C75=0,0,MIN(ROUNDUP(IF('Manual Data'!I61=1,IF(A75='Manual Data'!N61,ROUND(L74*103%-0.01,0),L74),'Manual Data'!I61),-1),HPS))</f>
        <v>42140</v>
      </c>
      <c r="M75" s="33">
        <f t="shared" si="23"/>
        <v>19890</v>
      </c>
      <c r="N75" s="33">
        <f>IF($E$5="No",ROUND(IF('Manual Data'!J61=1%,C75*$L$4,C75*'Manual Data'!J61),0),0)</f>
        <v>7982</v>
      </c>
      <c r="O75" s="33">
        <f t="shared" si="24"/>
        <v>1400</v>
      </c>
      <c r="P75" s="33">
        <f t="shared" si="25"/>
        <v>0</v>
      </c>
      <c r="Q75" s="33">
        <f t="shared" si="31"/>
        <v>798</v>
      </c>
      <c r="R75" s="33">
        <f t="shared" si="27"/>
        <v>0</v>
      </c>
      <c r="S75" s="64">
        <f t="shared" si="28"/>
        <v>72210</v>
      </c>
      <c r="T75" s="35">
        <f t="shared" si="29"/>
        <v>3282</v>
      </c>
      <c r="U75" s="55"/>
      <c r="V75" s="120"/>
      <c r="W75" s="120"/>
      <c r="X75" s="120"/>
      <c r="Y75" s="18">
        <v>47.2</v>
      </c>
      <c r="AB75" s="158">
        <f>MIN(IF('Manual Data'!D60=1,IF(A75=$E$4,AB74+INC1,AB74),'Manual Data'!D60),OBPH1)</f>
        <v>17550</v>
      </c>
    </row>
    <row r="76" spans="1:28" ht="12">
      <c r="A76" s="31" t="s">
        <v>19</v>
      </c>
      <c r="B76" s="32" t="s">
        <v>114</v>
      </c>
      <c r="C76" s="31">
        <f>IF(C75=0,0,MIN(ROUNDUP(IF('Manual Data'!E62=1,IF(A76='Manual Data'!N62,ROUND(C75*103%-0.01,0),C75),'Manual Data'!E62),-1),NBPH1))</f>
        <v>41110</v>
      </c>
      <c r="D76" s="33"/>
      <c r="E76" s="33">
        <f t="shared" si="19"/>
        <v>19404</v>
      </c>
      <c r="F76" s="33">
        <f>IF($E$5="No",ROUND(IF('Manual Data'!J62=1%,C76*$L$4,C76*'Manual Data'!J62),0),0)</f>
        <v>8222</v>
      </c>
      <c r="G76" s="33">
        <f>IF(C76=0,0,IF($L$5="Yes",IF('Manual Data'!G62=1,IF(OR($K$5="A",$K$5="A-1"),IF(OR($G$2="E1A",$G$2="E2A"),800,1400),IF(NOT(OR($G$2="E1A",$G$2="E2A")),800,500)),'Manual Data'!G62),0))</f>
        <v>1400</v>
      </c>
      <c r="H76" s="33">
        <v>0</v>
      </c>
      <c r="I76" s="33">
        <f t="shared" si="33"/>
        <v>822</v>
      </c>
      <c r="J76" s="33"/>
      <c r="K76" s="34">
        <f t="shared" si="34"/>
        <v>70958</v>
      </c>
      <c r="L76" s="31">
        <f>IF(C76=0,0,MIN(ROUNDUP(IF('Manual Data'!I62=1,IF(A76='Manual Data'!N62,ROUND(L75*103%-0.01,0),L75),'Manual Data'!I62),-1),HPS))</f>
        <v>43410</v>
      </c>
      <c r="M76" s="33">
        <f t="shared" si="23"/>
        <v>20490</v>
      </c>
      <c r="N76" s="33">
        <f>IF($E$5="No",ROUND(IF('Manual Data'!J62=1%,C76*$L$4,C76*'Manual Data'!J62),0),0)</f>
        <v>8222</v>
      </c>
      <c r="O76" s="33">
        <f t="shared" si="24"/>
        <v>1400</v>
      </c>
      <c r="P76" s="33">
        <f t="shared" si="25"/>
        <v>0</v>
      </c>
      <c r="Q76" s="33">
        <f t="shared" si="31"/>
        <v>822</v>
      </c>
      <c r="R76" s="33">
        <f t="shared" si="27"/>
        <v>0</v>
      </c>
      <c r="S76" s="64">
        <f t="shared" si="28"/>
        <v>74344</v>
      </c>
      <c r="T76" s="35">
        <f t="shared" si="29"/>
        <v>3386</v>
      </c>
      <c r="U76" s="55"/>
      <c r="V76" s="120"/>
      <c r="W76" s="120"/>
      <c r="X76" s="120"/>
      <c r="Y76" s="18">
        <v>47.2</v>
      </c>
      <c r="AB76" s="158">
        <f>MIN(IF('Manual Data'!D61=1,IF(A76=$E$4,AB75+INC1,AB75),'Manual Data'!D61),OBPH1)</f>
        <v>17900</v>
      </c>
    </row>
    <row r="77" spans="1:28" ht="12">
      <c r="A77" s="31" t="s">
        <v>20</v>
      </c>
      <c r="B77" s="32" t="s">
        <v>114</v>
      </c>
      <c r="C77" s="31">
        <f>IF(C76=0,0,MIN(ROUNDUP(IF('Manual Data'!E63=1,IF(A77='Manual Data'!N63,ROUND(C76*103%-0.01,0),C76),'Manual Data'!E63),-1),NBPH1))</f>
        <v>41110</v>
      </c>
      <c r="D77" s="33"/>
      <c r="E77" s="33">
        <f t="shared" si="19"/>
        <v>19404</v>
      </c>
      <c r="F77" s="33">
        <f>IF($E$5="No",ROUND(IF('Manual Data'!J63=1%,C77*$L$4,C77*'Manual Data'!J63),0),0)</f>
        <v>8222</v>
      </c>
      <c r="G77" s="33">
        <f>IF(C77=0,0,IF($L$5="Yes",IF('Manual Data'!G63=1,IF(OR($K$5="A",$K$5="A-1"),IF(OR($G$2="E1A",$G$2="E2A"),800,1400),IF(NOT(OR($G$2="E1A",$G$2="E2A")),800,500)),'Manual Data'!G63),0))</f>
        <v>1400</v>
      </c>
      <c r="H77" s="33">
        <v>0</v>
      </c>
      <c r="I77" s="33">
        <f t="shared" si="33"/>
        <v>822</v>
      </c>
      <c r="J77" s="33"/>
      <c r="K77" s="34">
        <f t="shared" si="34"/>
        <v>70958</v>
      </c>
      <c r="L77" s="31">
        <f>IF(C77=0,0,MIN(ROUNDUP(IF('Manual Data'!I63=1,IF(A77='Manual Data'!N63,ROUND(L76*103%-0.01,0),L76),'Manual Data'!I63),-1),HPS))</f>
        <v>43410</v>
      </c>
      <c r="M77" s="33">
        <f t="shared" si="23"/>
        <v>20490</v>
      </c>
      <c r="N77" s="33">
        <f>IF($E$5="No",ROUND(IF('Manual Data'!J63=1%,C77*$L$4,C77*'Manual Data'!J63),0),0)</f>
        <v>8222</v>
      </c>
      <c r="O77" s="33">
        <f t="shared" si="24"/>
        <v>1400</v>
      </c>
      <c r="P77" s="33">
        <f t="shared" si="25"/>
        <v>0</v>
      </c>
      <c r="Q77" s="33">
        <f t="shared" si="31"/>
        <v>822</v>
      </c>
      <c r="R77" s="33">
        <f t="shared" si="27"/>
        <v>0</v>
      </c>
      <c r="S77" s="64">
        <f t="shared" si="28"/>
        <v>74344</v>
      </c>
      <c r="T77" s="35">
        <f t="shared" si="29"/>
        <v>3386</v>
      </c>
      <c r="U77" s="55"/>
      <c r="V77" s="120"/>
      <c r="W77" s="120"/>
      <c r="X77" s="120"/>
      <c r="Y77" s="18">
        <v>47.2</v>
      </c>
      <c r="AB77" s="158">
        <f>MIN(IF('Manual Data'!D62=1,IF(A77=$E$4,AB76+INC1,AB76),'Manual Data'!D62),OBPH1)</f>
        <v>17900</v>
      </c>
    </row>
    <row r="78" spans="1:28" ht="12">
      <c r="A78" s="31" t="s">
        <v>21</v>
      </c>
      <c r="B78" s="32" t="s">
        <v>114</v>
      </c>
      <c r="C78" s="31">
        <f>IF(C77=0,0,MIN(ROUNDUP(IF('Manual Data'!E64=1,IF(A78='Manual Data'!N64,ROUND(C77*103%-0.01,0),C77),'Manual Data'!E64),-1),NBPH1))</f>
        <v>41110</v>
      </c>
      <c r="D78" s="33"/>
      <c r="E78" s="33">
        <f t="shared" si="19"/>
        <v>19404</v>
      </c>
      <c r="F78" s="33">
        <f>IF($E$5="No",ROUND(IF('Manual Data'!J64=1%,C78*$L$4,C78*'Manual Data'!J64),0),0)</f>
        <v>8222</v>
      </c>
      <c r="G78" s="33">
        <f>IF(C78=0,0,IF($L$5="Yes",IF('Manual Data'!G64=1,IF(OR($K$5="A",$K$5="A-1"),IF(OR($G$2="E1A",$G$2="E2A"),800,1400),IF(NOT(OR($G$2="E1A",$G$2="E2A")),800,500)),'Manual Data'!G64),0))</f>
        <v>1400</v>
      </c>
      <c r="H78" s="33">
        <v>0</v>
      </c>
      <c r="I78" s="33">
        <f t="shared" si="33"/>
        <v>822</v>
      </c>
      <c r="J78" s="33"/>
      <c r="K78" s="34">
        <f t="shared" si="34"/>
        <v>70958</v>
      </c>
      <c r="L78" s="31">
        <f>IF(C78=0,0,MIN(ROUNDUP(IF('Manual Data'!I64=1,IF(A78='Manual Data'!N64,ROUND(L77*103%-0.01,0),L77),'Manual Data'!I64),-1),HPS))</f>
        <v>43410</v>
      </c>
      <c r="M78" s="33">
        <f t="shared" si="23"/>
        <v>20490</v>
      </c>
      <c r="N78" s="33">
        <f>IF($E$5="No",ROUND(IF('Manual Data'!J64=1%,C78*$L$4,C78*'Manual Data'!J64),0),0)</f>
        <v>8222</v>
      </c>
      <c r="O78" s="33">
        <f t="shared" si="24"/>
        <v>1400</v>
      </c>
      <c r="P78" s="33">
        <f t="shared" si="25"/>
        <v>0</v>
      </c>
      <c r="Q78" s="33">
        <f t="shared" si="31"/>
        <v>822</v>
      </c>
      <c r="R78" s="33">
        <f t="shared" si="27"/>
        <v>0</v>
      </c>
      <c r="S78" s="64">
        <f t="shared" si="28"/>
        <v>74344</v>
      </c>
      <c r="T78" s="35">
        <f t="shared" si="29"/>
        <v>3386</v>
      </c>
      <c r="U78" s="55"/>
      <c r="V78" s="120"/>
      <c r="W78" s="120"/>
      <c r="X78" s="120"/>
      <c r="Y78" s="18">
        <v>47.2</v>
      </c>
      <c r="AB78" s="158">
        <f>MIN(IF('Manual Data'!D63=1,IF(A78=$E$4,AB77+INC1,AB77),'Manual Data'!D63),OBPH1)</f>
        <v>17900</v>
      </c>
    </row>
    <row r="79" spans="1:28" ht="12">
      <c r="A79" s="31" t="s">
        <v>1</v>
      </c>
      <c r="B79" s="32" t="s">
        <v>114</v>
      </c>
      <c r="C79" s="31">
        <f>IF(C78=0,0,MIN(ROUNDUP(IF('Manual Data'!E65=1,IF(A79='Manual Data'!N65,ROUND(C78*103%-0.01,0),C78),'Manual Data'!E65),-1),NBPH1))</f>
        <v>41110</v>
      </c>
      <c r="D79" s="33"/>
      <c r="E79" s="33">
        <f t="shared" si="19"/>
        <v>21377</v>
      </c>
      <c r="F79" s="33">
        <f>IF($E$5="No",ROUND(IF('Manual Data'!J65=1%,C79*$L$4,C79*'Manual Data'!J65),0),0)</f>
        <v>8222</v>
      </c>
      <c r="G79" s="33">
        <f>IF(C79=0,0,IF($L$5="Yes",IF('Manual Data'!G65=1,IF(OR($K$5="A",$K$5="A-1"),IF(OR($G$2="E1A",$G$2="E2A"),800,1400),IF(NOT(OR($G$2="E1A",$G$2="E2A")),800,500)),'Manual Data'!G65),0))</f>
        <v>1400</v>
      </c>
      <c r="H79" s="33">
        <v>0</v>
      </c>
      <c r="I79" s="33">
        <f aca="true" t="shared" si="35" ref="I79:I90">ROUND(C79*2%,0)</f>
        <v>822</v>
      </c>
      <c r="J79" s="33"/>
      <c r="K79" s="34">
        <f aca="true" t="shared" si="36" ref="K79:K90">SUM(C79:J79)</f>
        <v>72931</v>
      </c>
      <c r="L79" s="31">
        <f>IF(C79=0,0,MIN(ROUNDUP(IF('Manual Data'!I65=1,IF(A79='Manual Data'!N65,ROUND(L78*103%-0.01,0),L78),'Manual Data'!I65),-1),HPS))</f>
        <v>43410</v>
      </c>
      <c r="M79" s="33">
        <f t="shared" si="23"/>
        <v>22573</v>
      </c>
      <c r="N79" s="33">
        <f>IF($E$5="No",ROUND(IF('Manual Data'!J65=1%,C79*$L$4,C79*'Manual Data'!J65),0),0)</f>
        <v>8222</v>
      </c>
      <c r="O79" s="33">
        <f t="shared" si="24"/>
        <v>1400</v>
      </c>
      <c r="P79" s="33">
        <f t="shared" si="25"/>
        <v>0</v>
      </c>
      <c r="Q79" s="33">
        <f t="shared" si="31"/>
        <v>822</v>
      </c>
      <c r="R79" s="33">
        <f t="shared" si="27"/>
        <v>0</v>
      </c>
      <c r="S79" s="64">
        <f t="shared" si="28"/>
        <v>76427</v>
      </c>
      <c r="T79" s="35">
        <f t="shared" si="29"/>
        <v>3496</v>
      </c>
      <c r="U79" s="55"/>
      <c r="V79" s="120"/>
      <c r="W79" s="120"/>
      <c r="X79" s="120"/>
      <c r="Y79" s="18">
        <v>52</v>
      </c>
      <c r="AB79" s="158">
        <f>MIN(IF('Manual Data'!D64=1,IF(A79=$E$4,AB78+INC1,AB78),'Manual Data'!D64),OBPH1)</f>
        <v>17900</v>
      </c>
    </row>
    <row r="80" spans="1:28" ht="12">
      <c r="A80" s="31" t="s">
        <v>11</v>
      </c>
      <c r="B80" s="32" t="s">
        <v>114</v>
      </c>
      <c r="C80" s="31">
        <f>IF(C79=0,0,MIN(ROUNDUP(IF('Manual Data'!E66=1,IF(A80='Manual Data'!N66,ROUND(C79*103%-0.01,0),C79),'Manual Data'!E66),-1),NBPH1))</f>
        <v>41110</v>
      </c>
      <c r="D80" s="33"/>
      <c r="E80" s="33">
        <f aca="true" t="shared" si="37" ref="E80:E99">ROUND(C80*Y80%,0)</f>
        <v>21377</v>
      </c>
      <c r="F80" s="33">
        <f>IF($E$5="No",ROUND(IF('Manual Data'!J66=1%,C80*$L$4,C80*'Manual Data'!J66),0),0)</f>
        <v>8222</v>
      </c>
      <c r="G80" s="33">
        <f>IF(C80=0,0,IF($L$5="Yes",IF('Manual Data'!G66=1,IF(OR($K$5="A",$K$5="A-1"),IF(OR($G$2="E1A",$G$2="E2A"),800,1400),IF(NOT(OR($G$2="E1A",$G$2="E2A")),800,500)),'Manual Data'!G66),0))</f>
        <v>1400</v>
      </c>
      <c r="H80" s="33">
        <v>0</v>
      </c>
      <c r="I80" s="33">
        <f t="shared" si="35"/>
        <v>822</v>
      </c>
      <c r="J80" s="33"/>
      <c r="K80" s="34">
        <f t="shared" si="36"/>
        <v>72931</v>
      </c>
      <c r="L80" s="31">
        <f>IF(C80=0,0,MIN(ROUNDUP(IF('Manual Data'!I66=1,IF(A80='Manual Data'!N66,ROUND(L79*103%-0.01,0),L79),'Manual Data'!I66),-1),HPS))</f>
        <v>43410</v>
      </c>
      <c r="M80" s="33">
        <f aca="true" t="shared" si="38" ref="M80:M99">ROUND(L80*Y80%,0)</f>
        <v>22573</v>
      </c>
      <c r="N80" s="33">
        <f>IF($E$5="No",ROUND(IF('Manual Data'!J66=1%,C80*$L$4,C80*'Manual Data'!J66),0),0)</f>
        <v>8222</v>
      </c>
      <c r="O80" s="33">
        <f t="shared" si="24"/>
        <v>1400</v>
      </c>
      <c r="P80" s="33">
        <f t="shared" si="25"/>
        <v>0</v>
      </c>
      <c r="Q80" s="33">
        <f t="shared" si="31"/>
        <v>822</v>
      </c>
      <c r="R80" s="33">
        <f t="shared" si="27"/>
        <v>0</v>
      </c>
      <c r="S80" s="64">
        <f t="shared" si="28"/>
        <v>76427</v>
      </c>
      <c r="T80" s="35">
        <f t="shared" si="29"/>
        <v>3496</v>
      </c>
      <c r="U80" s="55"/>
      <c r="V80" s="120"/>
      <c r="W80" s="120"/>
      <c r="X80" s="120"/>
      <c r="Y80" s="18">
        <v>52</v>
      </c>
      <c r="AB80" s="158">
        <f>MIN(IF('Manual Data'!D65=1,IF(A80=$E$4,AB79+INC1,AB79),'Manual Data'!D65),OBPH1)</f>
        <v>17900</v>
      </c>
    </row>
    <row r="81" spans="1:28" ht="12">
      <c r="A81" s="31" t="s">
        <v>12</v>
      </c>
      <c r="B81" s="32" t="s">
        <v>114</v>
      </c>
      <c r="C81" s="31">
        <f>IF(C80=0,0,MIN(ROUNDUP(IF('Manual Data'!E67=1,IF(A81='Manual Data'!N67,ROUND(C80*103%-0.01,0),C80),'Manual Data'!E67),-1),NBPH1))</f>
        <v>41110</v>
      </c>
      <c r="D81" s="33"/>
      <c r="E81" s="33">
        <f t="shared" si="37"/>
        <v>21377</v>
      </c>
      <c r="F81" s="33">
        <f>IF($E$5="No",ROUND(IF('Manual Data'!J67=1%,C81*$L$4,C81*'Manual Data'!J67),0),0)</f>
        <v>8222</v>
      </c>
      <c r="G81" s="33">
        <f>IF(C81=0,0,IF($L$5="Yes",IF('Manual Data'!G67=1,IF(OR($K$5="A",$K$5="A-1"),IF(OR($G$2="E1A",$G$2="E2A"),800,1400),IF(NOT(OR($G$2="E1A",$G$2="E2A")),800,500)),'Manual Data'!G67),0))</f>
        <v>1400</v>
      </c>
      <c r="H81" s="33">
        <v>0</v>
      </c>
      <c r="I81" s="33">
        <f t="shared" si="35"/>
        <v>822</v>
      </c>
      <c r="J81" s="33"/>
      <c r="K81" s="34">
        <f t="shared" si="36"/>
        <v>72931</v>
      </c>
      <c r="L81" s="31">
        <f>IF(C81=0,0,MIN(ROUNDUP(IF('Manual Data'!I67=1,IF(A81='Manual Data'!N67,ROUND(L80*103%-0.01,0),L80),'Manual Data'!I67),-1),HPS))</f>
        <v>43410</v>
      </c>
      <c r="M81" s="33">
        <f t="shared" si="38"/>
        <v>22573</v>
      </c>
      <c r="N81" s="33">
        <f>IF($E$5="No",ROUND(IF('Manual Data'!J67=1%,C81*$L$4,C81*'Manual Data'!J67),0),0)</f>
        <v>8222</v>
      </c>
      <c r="O81" s="33">
        <f t="shared" si="24"/>
        <v>1400</v>
      </c>
      <c r="P81" s="33">
        <f t="shared" si="25"/>
        <v>0</v>
      </c>
      <c r="Q81" s="33">
        <f t="shared" si="31"/>
        <v>822</v>
      </c>
      <c r="R81" s="33">
        <f t="shared" si="27"/>
        <v>0</v>
      </c>
      <c r="S81" s="64">
        <f t="shared" si="28"/>
        <v>76427</v>
      </c>
      <c r="T81" s="35">
        <f t="shared" si="29"/>
        <v>3496</v>
      </c>
      <c r="U81" s="55"/>
      <c r="V81" s="120"/>
      <c r="W81" s="120"/>
      <c r="X81" s="120"/>
      <c r="Y81" s="18">
        <v>52</v>
      </c>
      <c r="AB81" s="158">
        <f>MIN(IF('Manual Data'!D66=1,IF(A81=$E$4,AB80+INC1,AB80),'Manual Data'!D66),OBPH1)</f>
        <v>17900</v>
      </c>
    </row>
    <row r="82" spans="1:28" ht="12">
      <c r="A82" s="31" t="s">
        <v>13</v>
      </c>
      <c r="B82" s="32" t="s">
        <v>115</v>
      </c>
      <c r="C82" s="31">
        <f>IF(C81=0,0,MIN(ROUNDUP(IF('Manual Data'!E68=1,IF(A82='Manual Data'!N68,ROUND(C81*103%-0.01,0),C81),'Manual Data'!E68),-1),NBPH1))</f>
        <v>41110</v>
      </c>
      <c r="D82" s="33"/>
      <c r="E82" s="33">
        <f t="shared" si="37"/>
        <v>23309</v>
      </c>
      <c r="F82" s="33">
        <f>IF($E$5="No",ROUND(IF('Manual Data'!J68=1%,C82*$L$4,C82*'Manual Data'!J68),0),0)</f>
        <v>8222</v>
      </c>
      <c r="G82" s="33">
        <f>IF(C82=0,0,IF($L$5="Yes",IF('Manual Data'!G68=1,IF(OR($K$5="A",$K$5="A-1"),IF(OR($G$2="E1A",$G$2="E2A"),800,1400),IF(NOT(OR($G$2="E1A",$G$2="E2A")),800,500)),'Manual Data'!G68),0))</f>
        <v>1400</v>
      </c>
      <c r="H82" s="33">
        <v>0</v>
      </c>
      <c r="I82" s="33">
        <f t="shared" si="35"/>
        <v>822</v>
      </c>
      <c r="J82" s="33"/>
      <c r="K82" s="34">
        <f t="shared" si="36"/>
        <v>74863</v>
      </c>
      <c r="L82" s="31">
        <f>IF(C82=0,0,MIN(ROUNDUP(IF('Manual Data'!I68=1,IF(A82='Manual Data'!N68,ROUND(L81*103%-0.01,0),L81),'Manual Data'!I68),-1),HPS))</f>
        <v>43410</v>
      </c>
      <c r="M82" s="33">
        <f t="shared" si="38"/>
        <v>24613</v>
      </c>
      <c r="N82" s="33">
        <f>IF($E$5="No",ROUND(IF('Manual Data'!J68=1%,C82*$L$4,C82*'Manual Data'!J68),0),0)</f>
        <v>8222</v>
      </c>
      <c r="O82" s="33">
        <f t="shared" si="24"/>
        <v>1400</v>
      </c>
      <c r="P82" s="33">
        <f t="shared" si="25"/>
        <v>0</v>
      </c>
      <c r="Q82" s="33">
        <f t="shared" si="31"/>
        <v>822</v>
      </c>
      <c r="R82" s="33">
        <f t="shared" si="27"/>
        <v>0</v>
      </c>
      <c r="S82" s="64">
        <f t="shared" si="28"/>
        <v>78467</v>
      </c>
      <c r="T82" s="35">
        <f t="shared" si="29"/>
        <v>3604</v>
      </c>
      <c r="U82" s="55"/>
      <c r="V82" s="120"/>
      <c r="W82" s="120"/>
      <c r="X82" s="120"/>
      <c r="Y82" s="18">
        <v>56.7</v>
      </c>
      <c r="AB82" s="158">
        <f>MIN(IF('Manual Data'!D67=1,IF(A82=$E$4,AB81+INC1,AB81),'Manual Data'!D67),OBPH1)</f>
        <v>17900</v>
      </c>
    </row>
    <row r="83" spans="1:28" ht="12">
      <c r="A83" s="31" t="s">
        <v>14</v>
      </c>
      <c r="B83" s="32" t="s">
        <v>115</v>
      </c>
      <c r="C83" s="31">
        <f>IF(C82=0,0,MIN(ROUNDUP(IF('Manual Data'!E69=1,IF(A83='Manual Data'!N69,ROUND(C82*103%-0.01,0),C82),'Manual Data'!E69),-1),NBPH1))</f>
        <v>41110</v>
      </c>
      <c r="D83" s="33"/>
      <c r="E83" s="33">
        <f t="shared" si="37"/>
        <v>23309</v>
      </c>
      <c r="F83" s="33">
        <f>IF($E$5="No",ROUND(IF('Manual Data'!J69=1%,C83*$L$4,C83*'Manual Data'!J69),0),0)</f>
        <v>8222</v>
      </c>
      <c r="G83" s="33">
        <f>IF(C83=0,0,IF($L$5="Yes",IF('Manual Data'!G69=1,IF(OR($K$5="A",$K$5="A-1"),IF(OR($G$2="E1A",$G$2="E2A"),800,1400),IF(NOT(OR($G$2="E1A",$G$2="E2A")),800,500)),'Manual Data'!G69),0))</f>
        <v>1400</v>
      </c>
      <c r="H83" s="33">
        <v>0</v>
      </c>
      <c r="I83" s="33">
        <f t="shared" si="35"/>
        <v>822</v>
      </c>
      <c r="J83" s="33"/>
      <c r="K83" s="34">
        <f t="shared" si="36"/>
        <v>74863</v>
      </c>
      <c r="L83" s="31">
        <f>IF(C83=0,0,MIN(ROUNDUP(IF('Manual Data'!I69=1,IF(A83='Manual Data'!N69,ROUND(L82*103%-0.01,0),L82),'Manual Data'!I69),-1),HPS))</f>
        <v>43410</v>
      </c>
      <c r="M83" s="33">
        <f t="shared" si="38"/>
        <v>24613</v>
      </c>
      <c r="N83" s="33">
        <f>IF($E$5="No",ROUND(IF('Manual Data'!J69=1%,C83*$L$4,C83*'Manual Data'!J69),0),0)</f>
        <v>8222</v>
      </c>
      <c r="O83" s="33">
        <f t="shared" si="24"/>
        <v>1400</v>
      </c>
      <c r="P83" s="33">
        <f t="shared" si="25"/>
        <v>0</v>
      </c>
      <c r="Q83" s="33">
        <f t="shared" si="31"/>
        <v>822</v>
      </c>
      <c r="R83" s="33">
        <f t="shared" si="27"/>
        <v>0</v>
      </c>
      <c r="S83" s="64">
        <f t="shared" si="28"/>
        <v>78467</v>
      </c>
      <c r="T83" s="35">
        <f t="shared" si="29"/>
        <v>3604</v>
      </c>
      <c r="U83" s="55"/>
      <c r="V83" s="120"/>
      <c r="W83" s="120"/>
      <c r="X83" s="120"/>
      <c r="Y83" s="18">
        <v>56.7</v>
      </c>
      <c r="AB83" s="158">
        <f>MIN(IF('Manual Data'!D68=1,IF(A83=$E$4,AB82+INC1,AB82),'Manual Data'!D68),OBPH1)</f>
        <v>17900</v>
      </c>
    </row>
    <row r="84" spans="1:28" ht="12">
      <c r="A84" s="31" t="s">
        <v>15</v>
      </c>
      <c r="B84" s="32" t="s">
        <v>115</v>
      </c>
      <c r="C84" s="31">
        <f>IF(C83=0,0,MIN(ROUNDUP(IF('Manual Data'!E70=1,IF(A84='Manual Data'!N70,ROUND(C83*103%-0.01,0),C83),'Manual Data'!E70),-1),NBPH1))</f>
        <v>41110</v>
      </c>
      <c r="D84" s="33"/>
      <c r="E84" s="33">
        <f t="shared" si="37"/>
        <v>23309</v>
      </c>
      <c r="F84" s="33">
        <f>IF($E$5="No",ROUND(IF('Manual Data'!J70=1%,C84*$L$4,C84*'Manual Data'!J70),0),0)</f>
        <v>8222</v>
      </c>
      <c r="G84" s="33">
        <f>IF(C84=0,0,IF($L$5="Yes",IF('Manual Data'!G70=1,IF(OR($K$5="A",$K$5="A-1"),IF(OR($G$2="E1A",$G$2="E2A"),800,1400),IF(NOT(OR($G$2="E1A",$G$2="E2A")),800,500)),'Manual Data'!G70),0))</f>
        <v>1400</v>
      </c>
      <c r="H84" s="33">
        <v>0</v>
      </c>
      <c r="I84" s="33">
        <f t="shared" si="35"/>
        <v>822</v>
      </c>
      <c r="J84" s="33"/>
      <c r="K84" s="34">
        <f t="shared" si="36"/>
        <v>74863</v>
      </c>
      <c r="L84" s="31">
        <f>IF(C84=0,0,MIN(ROUNDUP(IF('Manual Data'!I70=1,IF(A84='Manual Data'!N70,ROUND(L83*103%-0.01,0),L83),'Manual Data'!I70),-1),HPS))</f>
        <v>43410</v>
      </c>
      <c r="M84" s="33">
        <f t="shared" si="38"/>
        <v>24613</v>
      </c>
      <c r="N84" s="33">
        <f>IF($E$5="No",ROUND(IF('Manual Data'!J70=1%,C84*$L$4,C84*'Manual Data'!J70),0),0)</f>
        <v>8222</v>
      </c>
      <c r="O84" s="33">
        <f t="shared" si="24"/>
        <v>1400</v>
      </c>
      <c r="P84" s="33">
        <f t="shared" si="25"/>
        <v>0</v>
      </c>
      <c r="Q84" s="33">
        <f t="shared" si="31"/>
        <v>822</v>
      </c>
      <c r="R84" s="33">
        <f t="shared" si="27"/>
        <v>0</v>
      </c>
      <c r="S84" s="64">
        <f t="shared" si="28"/>
        <v>78467</v>
      </c>
      <c r="T84" s="35">
        <f t="shared" si="29"/>
        <v>3604</v>
      </c>
      <c r="U84" s="55"/>
      <c r="V84" s="120"/>
      <c r="W84" s="120"/>
      <c r="X84" s="120"/>
      <c r="Y84" s="18">
        <v>56.7</v>
      </c>
      <c r="AB84" s="158">
        <f>MIN(IF('Manual Data'!D69=1,IF(A84=$E$4,AB83+INC1,AB83),'Manual Data'!D69),OBPH1)</f>
        <v>17900</v>
      </c>
    </row>
    <row r="85" spans="1:28" ht="12">
      <c r="A85" s="31" t="s">
        <v>16</v>
      </c>
      <c r="B85" s="32" t="s">
        <v>115</v>
      </c>
      <c r="C85" s="31">
        <f>IF(C84=0,0,MIN(ROUNDUP(IF('Manual Data'!E71=1,IF(A85='Manual Data'!N71,ROUND(C84*103%-0.01,0),C84),'Manual Data'!E71),-1),NBPH1))</f>
        <v>41110</v>
      </c>
      <c r="D85" s="33"/>
      <c r="E85" s="33">
        <f t="shared" si="37"/>
        <v>23309</v>
      </c>
      <c r="F85" s="33">
        <f>IF($E$5="No",ROUND(IF('Manual Data'!J71=1%,C85*$L$4,C85*'Manual Data'!J71),0),0)</f>
        <v>8222</v>
      </c>
      <c r="G85" s="33">
        <f>IF(C85=0,0,IF($L$5="Yes",IF('Manual Data'!G71=1,IF(OR($K$5="A",$K$5="A-1"),IF(OR($G$2="E1A",$G$2="E2A"),800,1400),IF(NOT(OR($G$2="E1A",$G$2="E2A")),800,500)),'Manual Data'!G71),0))</f>
        <v>1400</v>
      </c>
      <c r="H85" s="33">
        <v>0</v>
      </c>
      <c r="I85" s="33">
        <f t="shared" si="35"/>
        <v>822</v>
      </c>
      <c r="J85" s="33"/>
      <c r="K85" s="34">
        <f t="shared" si="36"/>
        <v>74863</v>
      </c>
      <c r="L85" s="31">
        <f>IF(C85=0,0,MIN(ROUNDUP(IF('Manual Data'!I71=1,IF(A85='Manual Data'!N71,ROUND(L84*103%-0.01,0),L84),'Manual Data'!I71),-1),HPS))</f>
        <v>43410</v>
      </c>
      <c r="M85" s="33">
        <f t="shared" si="38"/>
        <v>24613</v>
      </c>
      <c r="N85" s="33">
        <f>IF($E$5="No",ROUND(IF('Manual Data'!J71=1%,C85*$L$4,C85*'Manual Data'!J71),0),0)</f>
        <v>8222</v>
      </c>
      <c r="O85" s="33">
        <f t="shared" si="24"/>
        <v>1400</v>
      </c>
      <c r="P85" s="33">
        <f t="shared" si="25"/>
        <v>0</v>
      </c>
      <c r="Q85" s="33">
        <f t="shared" si="31"/>
        <v>822</v>
      </c>
      <c r="R85" s="33">
        <f t="shared" si="27"/>
        <v>0</v>
      </c>
      <c r="S85" s="64">
        <f t="shared" si="28"/>
        <v>78467</v>
      </c>
      <c r="T85" s="35">
        <f t="shared" si="29"/>
        <v>3604</v>
      </c>
      <c r="U85" s="55"/>
      <c r="V85" s="120"/>
      <c r="W85" s="120"/>
      <c r="X85" s="120"/>
      <c r="Y85" s="18">
        <v>56.7</v>
      </c>
      <c r="AB85" s="158">
        <f>MIN(IF('Manual Data'!D70=1,IF(A85=$E$4,AB84+INC1,AB84),'Manual Data'!D70),OBPH1)</f>
        <v>17900</v>
      </c>
    </row>
    <row r="86" spans="1:28" ht="12">
      <c r="A86" s="31" t="s">
        <v>17</v>
      </c>
      <c r="B86" s="32" t="s">
        <v>115</v>
      </c>
      <c r="C86" s="31">
        <f>IF(C85=0,0,MIN(ROUNDUP(IF('Manual Data'!E72=1,IF(A86='Manual Data'!N72,ROUND(C85*103%-0.01,0),C85),'Manual Data'!E72),-1),NBPH1))</f>
        <v>41110</v>
      </c>
      <c r="D86" s="33"/>
      <c r="E86" s="33">
        <f t="shared" si="37"/>
        <v>23309</v>
      </c>
      <c r="F86" s="33">
        <f>IF($E$5="No",ROUND(IF('Manual Data'!J72=1%,C86*$L$4,C86*'Manual Data'!J72),0),0)</f>
        <v>8222</v>
      </c>
      <c r="G86" s="33">
        <f>IF(C86=0,0,IF($L$5="Yes",IF('Manual Data'!G72=1,IF(OR($K$5="A",$K$5="A-1"),IF(OR($G$2="E1A",$G$2="E2A"),800,1400),IF(NOT(OR($G$2="E1A",$G$2="E2A")),800,500)),'Manual Data'!G72),0))</f>
        <v>1400</v>
      </c>
      <c r="H86" s="33">
        <v>0</v>
      </c>
      <c r="I86" s="33">
        <f t="shared" si="35"/>
        <v>822</v>
      </c>
      <c r="J86" s="33"/>
      <c r="K86" s="34">
        <f t="shared" si="36"/>
        <v>74863</v>
      </c>
      <c r="L86" s="31">
        <f>IF(C86=0,0,MIN(ROUNDUP(IF('Manual Data'!I72=1,IF(A86='Manual Data'!N72,ROUND(L85*103%-0.01,0),L85),'Manual Data'!I72),-1),HPS))</f>
        <v>43410</v>
      </c>
      <c r="M86" s="33">
        <f t="shared" si="38"/>
        <v>24613</v>
      </c>
      <c r="N86" s="33">
        <f>IF($E$5="No",ROUND(IF('Manual Data'!J72=1%,C86*$L$4,C86*'Manual Data'!J72),0),0)</f>
        <v>8222</v>
      </c>
      <c r="O86" s="33">
        <f t="shared" si="24"/>
        <v>1400</v>
      </c>
      <c r="P86" s="33">
        <f t="shared" si="25"/>
        <v>0</v>
      </c>
      <c r="Q86" s="33">
        <f t="shared" si="31"/>
        <v>822</v>
      </c>
      <c r="R86" s="33">
        <f t="shared" si="27"/>
        <v>0</v>
      </c>
      <c r="S86" s="64">
        <f t="shared" si="28"/>
        <v>78467</v>
      </c>
      <c r="T86" s="35">
        <f t="shared" si="29"/>
        <v>3604</v>
      </c>
      <c r="U86" s="55"/>
      <c r="V86" s="120"/>
      <c r="W86" s="120"/>
      <c r="X86" s="120"/>
      <c r="Y86" s="18">
        <v>56.7</v>
      </c>
      <c r="AB86" s="158">
        <f>MIN(IF('Manual Data'!D71=1,IF(A86=$E$4,AB85+INC1,AB85),'Manual Data'!D71),OBPH1)</f>
        <v>17900</v>
      </c>
    </row>
    <row r="87" spans="1:28" ht="12">
      <c r="A87" s="31" t="s">
        <v>18</v>
      </c>
      <c r="B87" s="32" t="s">
        <v>115</v>
      </c>
      <c r="C87" s="31">
        <f>IF(C86=0,0,MIN(ROUNDUP(IF('Manual Data'!E73=1,IF(A87='Manual Data'!N73,ROUND(C86*103%-0.01,0),C86),'Manual Data'!E73),-1),NBPH1))</f>
        <v>41110</v>
      </c>
      <c r="D87" s="33"/>
      <c r="E87" s="33">
        <f t="shared" si="37"/>
        <v>23309</v>
      </c>
      <c r="F87" s="33">
        <f>IF($E$5="No",ROUND(IF('Manual Data'!J73=1%,C87*$L$4,C87*'Manual Data'!J73),0),0)</f>
        <v>8222</v>
      </c>
      <c r="G87" s="33">
        <f>IF(C87=0,0,IF($L$5="Yes",IF('Manual Data'!G73=1,IF(OR($K$5="A",$K$5="A-1"),IF(OR($G$2="E1A",$G$2="E2A"),800,1400),IF(NOT(OR($G$2="E1A",$G$2="E2A")),800,500)),'Manual Data'!G73),0))</f>
        <v>1400</v>
      </c>
      <c r="H87" s="33">
        <v>0</v>
      </c>
      <c r="I87" s="33">
        <f t="shared" si="35"/>
        <v>822</v>
      </c>
      <c r="J87" s="33"/>
      <c r="K87" s="34">
        <f t="shared" si="36"/>
        <v>74863</v>
      </c>
      <c r="L87" s="31">
        <f>IF(C87=0,0,MIN(ROUNDUP(IF('Manual Data'!I73=1,IF(A87='Manual Data'!N73,ROUND(L86*103%-0.01,0),L86),'Manual Data'!I73),-1),HPS))</f>
        <v>43410</v>
      </c>
      <c r="M87" s="33">
        <f t="shared" si="38"/>
        <v>24613</v>
      </c>
      <c r="N87" s="33">
        <f>IF($E$5="No",ROUND(IF('Manual Data'!J73=1%,C87*$L$4,C87*'Manual Data'!J73),0),0)</f>
        <v>8222</v>
      </c>
      <c r="O87" s="33">
        <f t="shared" si="24"/>
        <v>1400</v>
      </c>
      <c r="P87" s="33">
        <f t="shared" si="25"/>
        <v>0</v>
      </c>
      <c r="Q87" s="33">
        <f t="shared" si="31"/>
        <v>822</v>
      </c>
      <c r="R87" s="33">
        <f t="shared" si="27"/>
        <v>0</v>
      </c>
      <c r="S87" s="64">
        <f t="shared" si="28"/>
        <v>78467</v>
      </c>
      <c r="T87" s="35">
        <f t="shared" si="29"/>
        <v>3604</v>
      </c>
      <c r="U87" s="55"/>
      <c r="V87" s="120"/>
      <c r="W87" s="120"/>
      <c r="X87" s="120"/>
      <c r="Y87" s="18">
        <v>56.7</v>
      </c>
      <c r="AB87" s="158">
        <f>MIN(IF('Manual Data'!D72=1,IF(A87=$E$4,AB86+INC1,AB86),'Manual Data'!D72),OBPH1)</f>
        <v>17900</v>
      </c>
    </row>
    <row r="88" spans="1:28" ht="12">
      <c r="A88" s="31" t="s">
        <v>19</v>
      </c>
      <c r="B88" s="32" t="s">
        <v>115</v>
      </c>
      <c r="C88" s="31">
        <f>IF(C87=0,0,MIN(ROUNDUP(IF('Manual Data'!E74=1,IF(A88='Manual Data'!N74,ROUND(C87*103%-0.01,0),C87),'Manual Data'!E74),-1),NBPH1))</f>
        <v>42350</v>
      </c>
      <c r="D88" s="33"/>
      <c r="E88" s="33">
        <f t="shared" si="37"/>
        <v>26045</v>
      </c>
      <c r="F88" s="33">
        <f>IF($E$5="No",ROUND(IF('Manual Data'!J74=1%,C88*$L$4,C88*'Manual Data'!J74),0),0)</f>
        <v>8470</v>
      </c>
      <c r="G88" s="33">
        <f>IF(C88=0,0,IF($L$5="Yes",IF('Manual Data'!G74=1,IF(OR($K$5="A",$K$5="A-1"),IF(OR($G$2="E1A",$G$2="E2A"),800,1400),IF(NOT(OR($G$2="E1A",$G$2="E2A")),800,500)),'Manual Data'!G74),0))</f>
        <v>1400</v>
      </c>
      <c r="H88" s="33">
        <v>0</v>
      </c>
      <c r="I88" s="33">
        <f t="shared" si="35"/>
        <v>847</v>
      </c>
      <c r="J88" s="33"/>
      <c r="K88" s="34">
        <f t="shared" si="36"/>
        <v>79112</v>
      </c>
      <c r="L88" s="31">
        <f>IF(C88=0,0,MIN(ROUNDUP(IF('Manual Data'!I74=1,IF(A88='Manual Data'!N74,ROUND(L87*103%-0.01,0),L87),'Manual Data'!I74),-1),HPS))</f>
        <v>44720</v>
      </c>
      <c r="M88" s="33">
        <f t="shared" si="38"/>
        <v>27503</v>
      </c>
      <c r="N88" s="33">
        <f>IF($E$5="No",ROUND(IF('Manual Data'!J74=1%,C88*$L$4,C88*'Manual Data'!J74),0),0)</f>
        <v>8470</v>
      </c>
      <c r="O88" s="33">
        <f t="shared" si="24"/>
        <v>1400</v>
      </c>
      <c r="P88" s="33">
        <f t="shared" si="25"/>
        <v>0</v>
      </c>
      <c r="Q88" s="33">
        <f t="shared" si="31"/>
        <v>847</v>
      </c>
      <c r="R88" s="33">
        <f t="shared" si="27"/>
        <v>0</v>
      </c>
      <c r="S88" s="64">
        <f t="shared" si="28"/>
        <v>82940</v>
      </c>
      <c r="T88" s="35">
        <f t="shared" si="29"/>
        <v>3828</v>
      </c>
      <c r="U88" s="55"/>
      <c r="V88" s="120"/>
      <c r="W88" s="120"/>
      <c r="X88" s="120"/>
      <c r="Y88" s="18">
        <v>61.5</v>
      </c>
      <c r="AB88" s="158">
        <f>MIN(IF('Manual Data'!D73=1,IF(A88=$E$4,AB87+INC1,AB87),'Manual Data'!D73),OBPH1)</f>
        <v>18250</v>
      </c>
    </row>
    <row r="89" spans="1:28" ht="12">
      <c r="A89" s="31" t="s">
        <v>20</v>
      </c>
      <c r="B89" s="32" t="s">
        <v>115</v>
      </c>
      <c r="C89" s="31">
        <f>IF(C88=0,0,MIN(ROUNDUP(IF('Manual Data'!E75=1,IF(A89='Manual Data'!N75,ROUND(C88*103%-0.01,0),C88),'Manual Data'!E75),-1),NBPH1))</f>
        <v>42350</v>
      </c>
      <c r="D89" s="33"/>
      <c r="E89" s="33">
        <f t="shared" si="37"/>
        <v>26045</v>
      </c>
      <c r="F89" s="33">
        <f>IF($E$5="No",ROUND(IF('Manual Data'!J75=1%,C89*$L$4,C89*'Manual Data'!J75),0),0)</f>
        <v>8470</v>
      </c>
      <c r="G89" s="33">
        <f>IF(C89=0,0,IF($L$5="Yes",IF('Manual Data'!G75=1,IF(OR($K$5="A",$K$5="A-1"),IF(OR($G$2="E1A",$G$2="E2A"),800,1400),IF(NOT(OR($G$2="E1A",$G$2="E2A")),800,500)),'Manual Data'!G75),0))</f>
        <v>1400</v>
      </c>
      <c r="H89" s="33">
        <v>0</v>
      </c>
      <c r="I89" s="33">
        <f t="shared" si="35"/>
        <v>847</v>
      </c>
      <c r="J89" s="33"/>
      <c r="K89" s="34">
        <f t="shared" si="36"/>
        <v>79112</v>
      </c>
      <c r="L89" s="31">
        <f>IF(C89=0,0,MIN(ROUNDUP(IF('Manual Data'!I75=1,IF(A89='Manual Data'!N75,ROUND(L88*103%-0.01,0),L88),'Manual Data'!I75),-1),HPS))</f>
        <v>44720</v>
      </c>
      <c r="M89" s="33">
        <f t="shared" si="38"/>
        <v>27503</v>
      </c>
      <c r="N89" s="33">
        <f>IF($E$5="No",ROUND(IF('Manual Data'!J75=1%,C89*$L$4,C89*'Manual Data'!J75),0),0)</f>
        <v>8470</v>
      </c>
      <c r="O89" s="33">
        <f t="shared" si="24"/>
        <v>1400</v>
      </c>
      <c r="P89" s="33">
        <f t="shared" si="25"/>
        <v>0</v>
      </c>
      <c r="Q89" s="33">
        <f t="shared" si="31"/>
        <v>847</v>
      </c>
      <c r="R89" s="33">
        <f t="shared" si="27"/>
        <v>0</v>
      </c>
      <c r="S89" s="64">
        <f t="shared" si="28"/>
        <v>82940</v>
      </c>
      <c r="T89" s="35">
        <f t="shared" si="29"/>
        <v>3828</v>
      </c>
      <c r="U89" s="55"/>
      <c r="V89" s="120"/>
      <c r="W89" s="120"/>
      <c r="X89" s="120"/>
      <c r="Y89" s="18">
        <v>61.5</v>
      </c>
      <c r="AB89" s="158">
        <f>MIN(IF('Manual Data'!D74=1,IF(A89=$E$4,AB88+INC1,AB88),'Manual Data'!D74),OBPH1)</f>
        <v>18250</v>
      </c>
    </row>
    <row r="90" spans="1:28" ht="12">
      <c r="A90" s="70" t="s">
        <v>21</v>
      </c>
      <c r="B90" s="71" t="s">
        <v>115</v>
      </c>
      <c r="C90" s="31">
        <f>IF(C89=0,0,MIN(ROUNDUP(IF('Manual Data'!E76=1,IF(A90='Manual Data'!N76,ROUND(C89*103%-0.01,0),C89),'Manual Data'!E76),-1),NBPH1))</f>
        <v>42350</v>
      </c>
      <c r="D90" s="72"/>
      <c r="E90" s="72">
        <f t="shared" si="37"/>
        <v>26045</v>
      </c>
      <c r="F90" s="72">
        <f>IF($E$5="No",ROUND(IF('Manual Data'!J76=1%,C90*$L$4,C90*'Manual Data'!J76),0),0)</f>
        <v>8470</v>
      </c>
      <c r="G90" s="33">
        <f>IF(C90=0,0,IF($L$5="Yes",IF('Manual Data'!G76=1,IF(OR($K$5="A",$K$5="A-1"),IF(OR($G$2="E1A",$G$2="E2A"),800,1400),IF(NOT(OR($G$2="E1A",$G$2="E2A")),800,500)),'Manual Data'!G76),0))</f>
        <v>1400</v>
      </c>
      <c r="H90" s="72">
        <v>0</v>
      </c>
      <c r="I90" s="72">
        <f t="shared" si="35"/>
        <v>847</v>
      </c>
      <c r="J90" s="72"/>
      <c r="K90" s="76">
        <f t="shared" si="36"/>
        <v>79112</v>
      </c>
      <c r="L90" s="31">
        <f>IF(C90=0,0,MIN(ROUNDUP(IF('Manual Data'!I76=1,IF(A90='Manual Data'!N76,ROUND(L89*103%-0.01,0),L89),'Manual Data'!I76),-1),HPS))</f>
        <v>44720</v>
      </c>
      <c r="M90" s="72">
        <f t="shared" si="38"/>
        <v>27503</v>
      </c>
      <c r="N90" s="33">
        <f>IF($E$5="No",ROUND(IF('Manual Data'!J76=1%,C90*$L$4,C90*'Manual Data'!J76),0),0)</f>
        <v>8470</v>
      </c>
      <c r="O90" s="72">
        <f t="shared" si="24"/>
        <v>1400</v>
      </c>
      <c r="P90" s="72">
        <f t="shared" si="25"/>
        <v>0</v>
      </c>
      <c r="Q90" s="33">
        <f t="shared" si="31"/>
        <v>847</v>
      </c>
      <c r="R90" s="72">
        <f t="shared" si="27"/>
        <v>0</v>
      </c>
      <c r="S90" s="73">
        <f t="shared" si="28"/>
        <v>82940</v>
      </c>
      <c r="T90" s="74">
        <f t="shared" si="29"/>
        <v>3828</v>
      </c>
      <c r="U90" s="55"/>
      <c r="V90" s="120"/>
      <c r="W90" s="120"/>
      <c r="X90" s="120"/>
      <c r="Y90" s="18">
        <v>61.5</v>
      </c>
      <c r="AB90" s="158">
        <f>MIN(IF('Manual Data'!D75=1,IF(A90=$E$4,AB89+INC1,AB89),'Manual Data'!D75),OBPH1)</f>
        <v>18250</v>
      </c>
    </row>
    <row r="91" spans="1:28" ht="12">
      <c r="A91" s="75" t="s">
        <v>1</v>
      </c>
      <c r="B91" s="32" t="s">
        <v>115</v>
      </c>
      <c r="C91" s="31">
        <f>IF(C90=0,0,MIN(ROUNDUP(IF('Manual Data'!E77=1,IF(A91='Manual Data'!N77,ROUND(C90*103%-0.01,0),C90),'Manual Data'!E77),-1),NBPH1))</f>
        <v>42350</v>
      </c>
      <c r="D91" s="33"/>
      <c r="E91" s="33">
        <f t="shared" si="37"/>
        <v>28502</v>
      </c>
      <c r="F91" s="72">
        <f>IF($E$5="No",ROUND(IF('Manual Data'!J77=1%,C91*$L$4,C91*'Manual Data'!J77),0),0)</f>
        <v>8470</v>
      </c>
      <c r="G91" s="33">
        <f>IF(C91=0,0,IF($L$5="Yes",IF('Manual Data'!G77=1,IF(OR($K$5="A",$K$5="A-1"),IF(OR($G$2="E1A",$G$2="E2A"),800,1400),IF(NOT(OR($G$2="E1A",$G$2="E2A")),800,500)),'Manual Data'!G77),0))</f>
        <v>1400</v>
      </c>
      <c r="H91" s="33">
        <v>0</v>
      </c>
      <c r="I91" s="33">
        <f>ROUND(C91*2%,0)</f>
        <v>847</v>
      </c>
      <c r="J91" s="33"/>
      <c r="K91" s="77">
        <f>SUM(C91:J91)</f>
        <v>81569</v>
      </c>
      <c r="L91" s="31">
        <f>IF(C91=0,0,MIN(ROUNDUP(IF('Manual Data'!I77=1,IF(A91='Manual Data'!N77,ROUND(L90*103%-0.01,0),L90),'Manual Data'!I77),-1),HPS))</f>
        <v>44720</v>
      </c>
      <c r="M91" s="33">
        <f t="shared" si="38"/>
        <v>30097</v>
      </c>
      <c r="N91" s="33">
        <f>IF($E$5="No",ROUND(IF('Manual Data'!J77=1%,C91*$L$4,C91*'Manual Data'!J77),0),0)</f>
        <v>8470</v>
      </c>
      <c r="O91" s="33">
        <f aca="true" t="shared" si="39" ref="O91:R93">G91</f>
        <v>1400</v>
      </c>
      <c r="P91" s="33">
        <f t="shared" si="39"/>
        <v>0</v>
      </c>
      <c r="Q91" s="33">
        <f t="shared" si="31"/>
        <v>847</v>
      </c>
      <c r="R91" s="33">
        <f t="shared" si="39"/>
        <v>0</v>
      </c>
      <c r="S91" s="64">
        <f>SUM(L91:R91)</f>
        <v>85534</v>
      </c>
      <c r="T91" s="78">
        <f>S91-K91</f>
        <v>3965</v>
      </c>
      <c r="U91" s="55"/>
      <c r="V91" s="120"/>
      <c r="W91" s="120"/>
      <c r="X91" s="120"/>
      <c r="Y91" s="18">
        <v>67.3</v>
      </c>
      <c r="AB91" s="158">
        <f>MIN(IF('Manual Data'!D76=1,IF(A91=$E$4,AB90+INC1,AB90),'Manual Data'!D76),OBPH1)</f>
        <v>18250</v>
      </c>
    </row>
    <row r="92" spans="1:28" ht="12">
      <c r="A92" s="75" t="s">
        <v>11</v>
      </c>
      <c r="B92" s="32" t="s">
        <v>115</v>
      </c>
      <c r="C92" s="31">
        <f>IF(C91=0,0,MIN(ROUNDUP(IF('Manual Data'!E78=1,IF(A92='Manual Data'!N78,ROUND(C91*103%-0.01,0),C91),'Manual Data'!E78),-1),NBPH1))</f>
        <v>42350</v>
      </c>
      <c r="D92" s="33"/>
      <c r="E92" s="33">
        <f t="shared" si="37"/>
        <v>28502</v>
      </c>
      <c r="F92" s="72">
        <f>IF($E$5="No",ROUND(IF('Manual Data'!J78=1%,C92*$L$4,C92*'Manual Data'!J78),0),0)</f>
        <v>8470</v>
      </c>
      <c r="G92" s="33">
        <f>IF(C92=0,0,IF($L$5="Yes",IF('Manual Data'!G78=1,IF(OR($K$5="A",$K$5="A-1"),IF(OR($G$2="E1A",$G$2="E2A"),800,1400),IF(NOT(OR($G$2="E1A",$G$2="E2A")),800,500)),'Manual Data'!G78),0))</f>
        <v>1400</v>
      </c>
      <c r="H92" s="33">
        <v>0</v>
      </c>
      <c r="I92" s="33">
        <f>ROUND(C92*2%,0)</f>
        <v>847</v>
      </c>
      <c r="J92" s="33"/>
      <c r="K92" s="77">
        <f>SUM(C92:J92)</f>
        <v>81569</v>
      </c>
      <c r="L92" s="31">
        <f>IF(C92=0,0,MIN(ROUNDUP(IF('Manual Data'!I78=1,IF(A92='Manual Data'!N78,ROUND(L91*103%-0.01,0),L91),'Manual Data'!I78),-1),HPS))</f>
        <v>44720</v>
      </c>
      <c r="M92" s="33">
        <f t="shared" si="38"/>
        <v>30097</v>
      </c>
      <c r="N92" s="33">
        <f>IF($E$5="No",ROUND(IF('Manual Data'!J78=1%,C92*$L$4,C92*'Manual Data'!J78),0),0)</f>
        <v>8470</v>
      </c>
      <c r="O92" s="33">
        <f t="shared" si="39"/>
        <v>1400</v>
      </c>
      <c r="P92" s="33">
        <f t="shared" si="39"/>
        <v>0</v>
      </c>
      <c r="Q92" s="33">
        <f t="shared" si="31"/>
        <v>847</v>
      </c>
      <c r="R92" s="33">
        <f t="shared" si="39"/>
        <v>0</v>
      </c>
      <c r="S92" s="64">
        <f>SUM(L92:R92)</f>
        <v>85534</v>
      </c>
      <c r="T92" s="78">
        <f>S92-K92</f>
        <v>3965</v>
      </c>
      <c r="U92" s="55"/>
      <c r="V92" s="120"/>
      <c r="W92" s="120"/>
      <c r="X92" s="120"/>
      <c r="Y92" s="18">
        <v>67.3</v>
      </c>
      <c r="AB92" s="158">
        <f>MIN(IF('Manual Data'!D77=1,IF(A92=$E$4,AB91+INC1,AB91),'Manual Data'!D77),OBPH1)</f>
        <v>18250</v>
      </c>
    </row>
    <row r="93" spans="1:28" ht="12">
      <c r="A93" s="31" t="s">
        <v>12</v>
      </c>
      <c r="B93" s="32" t="s">
        <v>115</v>
      </c>
      <c r="C93" s="31">
        <f>IF(C92=0,0,MIN(ROUNDUP(IF('Manual Data'!E79=1,IF(A93='Manual Data'!N79,ROUND(C92*103%-0.01,0),C92),'Manual Data'!E79),-1),NBPH1))</f>
        <v>42350</v>
      </c>
      <c r="D93" s="33"/>
      <c r="E93" s="33">
        <f t="shared" si="37"/>
        <v>28502</v>
      </c>
      <c r="F93" s="33">
        <f>IF($E$5="No",ROUND(IF('Manual Data'!J79=1%,C93*$L$4,C93*'Manual Data'!J79),0),0)</f>
        <v>8470</v>
      </c>
      <c r="G93" s="33">
        <f>IF(C93=0,0,IF($L$5="Yes",IF('Manual Data'!G79=1,IF(OR($K$5="A",$K$5="A-1"),IF(OR($G$2="E1A",$G$2="E2A"),800,1400),IF(NOT(OR($G$2="E1A",$G$2="E2A")),800,500)),'Manual Data'!G79),0))</f>
        <v>1400</v>
      </c>
      <c r="H93" s="33">
        <v>0</v>
      </c>
      <c r="I93" s="33">
        <f>ROUND(C93*2%,0)</f>
        <v>847</v>
      </c>
      <c r="J93" s="33"/>
      <c r="K93" s="64">
        <f>SUM(C93:J93)</f>
        <v>81569</v>
      </c>
      <c r="L93" s="31">
        <f>IF(C93=0,0,MIN(ROUNDUP(IF('Manual Data'!I79=1,IF(A93='Manual Data'!N79,ROUND(L92*103%-0.01,0),L92),'Manual Data'!I79),-1),HPS))</f>
        <v>44720</v>
      </c>
      <c r="M93" s="33">
        <f t="shared" si="38"/>
        <v>30097</v>
      </c>
      <c r="N93" s="33">
        <f>IF($E$5="No",ROUND(IF('Manual Data'!J79=1%,C93*$L$4,C93*'Manual Data'!J79),0),0)</f>
        <v>8470</v>
      </c>
      <c r="O93" s="33">
        <f t="shared" si="39"/>
        <v>1400</v>
      </c>
      <c r="P93" s="33">
        <f t="shared" si="39"/>
        <v>0</v>
      </c>
      <c r="Q93" s="33">
        <f t="shared" si="31"/>
        <v>847</v>
      </c>
      <c r="R93" s="33">
        <f t="shared" si="39"/>
        <v>0</v>
      </c>
      <c r="S93" s="64">
        <f>SUM(L93:R93)</f>
        <v>85534</v>
      </c>
      <c r="T93" s="35">
        <f>S93-K93</f>
        <v>3965</v>
      </c>
      <c r="U93" s="55"/>
      <c r="V93" s="120"/>
      <c r="W93" s="120"/>
      <c r="X93" s="120"/>
      <c r="Y93" s="18">
        <v>67.3</v>
      </c>
      <c r="AB93" s="158">
        <f>MIN(IF('Manual Data'!D78=1,IF(A93=$E$4,AB92+INC1,AB92),'Manual Data'!D78),OBPH1)</f>
        <v>18250</v>
      </c>
    </row>
    <row r="94" spans="1:28" ht="12">
      <c r="A94" s="31" t="s">
        <v>13</v>
      </c>
      <c r="B94" s="32" t="s">
        <v>124</v>
      </c>
      <c r="C94" s="31">
        <f>IF(C93=0,0,MIN(ROUNDUP(IF('Manual Data'!E80=1,IF(A94='Manual Data'!N80,ROUND(C93*103%-0.01,0),C93),'Manual Data'!E80),-1),NBPH1))</f>
        <v>42350</v>
      </c>
      <c r="D94" s="117"/>
      <c r="E94" s="33">
        <f t="shared" si="37"/>
        <v>30280</v>
      </c>
      <c r="F94" s="33">
        <f>IF($E$5="No",ROUND(IF('Manual Data'!J80=1%,C94*$L$4,C94*'Manual Data'!J80),0),0)</f>
        <v>8470</v>
      </c>
      <c r="G94" s="33">
        <f>IF(C94=0,0,IF($L$5="Yes",IF('Manual Data'!G80=1,IF(OR($K$5="A",$K$5="A-1"),IF(OR($G$2="E1A",$G$2="E2A"),800,1400),IF(NOT(OR($G$2="E1A",$G$2="E2A")),800,500)),'Manual Data'!G80),0))</f>
        <v>1400</v>
      </c>
      <c r="H94" s="33">
        <v>0</v>
      </c>
      <c r="I94" s="33">
        <f aca="true" t="shared" si="40" ref="I94:I99">ROUND(C94*2%,0)</f>
        <v>847</v>
      </c>
      <c r="J94" s="33"/>
      <c r="K94" s="64">
        <f aca="true" t="shared" si="41" ref="K94:K99">SUM(C94:J94)</f>
        <v>83347</v>
      </c>
      <c r="L94" s="31">
        <f>IF(C94=0,0,MIN(ROUNDUP(IF('Manual Data'!I80=1,IF(A94='Manual Data'!N80,ROUND(L93*103%-0.01,0),L93),'Manual Data'!I80),-1),HPS))</f>
        <v>44720</v>
      </c>
      <c r="M94" s="33">
        <f t="shared" si="38"/>
        <v>31975</v>
      </c>
      <c r="N94" s="33">
        <f>IF($E$5="No",ROUND(IF('Manual Data'!J80=1%,C94*$L$4,C94*'Manual Data'!J80),0),0)</f>
        <v>8470</v>
      </c>
      <c r="O94" s="33">
        <f aca="true" t="shared" si="42" ref="O94:O99">G94</f>
        <v>1400</v>
      </c>
      <c r="P94" s="33">
        <f aca="true" t="shared" si="43" ref="P94:P99">H94</f>
        <v>0</v>
      </c>
      <c r="Q94" s="33">
        <f t="shared" si="31"/>
        <v>847</v>
      </c>
      <c r="R94" s="33">
        <f aca="true" t="shared" si="44" ref="R94:R99">J94</f>
        <v>0</v>
      </c>
      <c r="S94" s="64">
        <f aca="true" t="shared" si="45" ref="S94:S99">SUM(L94:R94)</f>
        <v>87412</v>
      </c>
      <c r="T94" s="35">
        <f aca="true" t="shared" si="46" ref="T94:T99">S94-K94</f>
        <v>4065</v>
      </c>
      <c r="U94" s="55"/>
      <c r="V94" s="120"/>
      <c r="W94" s="120"/>
      <c r="X94" s="120"/>
      <c r="Y94" s="18">
        <v>71.5</v>
      </c>
      <c r="AB94" s="158">
        <f>MIN(IF('Manual Data'!D79=1,IF(A94=$E$4,AB93+INC1,AB93),'Manual Data'!D79),OBPH1)</f>
        <v>18250</v>
      </c>
    </row>
    <row r="95" spans="1:28" ht="12">
      <c r="A95" s="31" t="s">
        <v>14</v>
      </c>
      <c r="B95" s="32" t="s">
        <v>124</v>
      </c>
      <c r="C95" s="31">
        <f>IF(C94=0,0,MIN(ROUNDUP(IF('Manual Data'!E81=1,IF(A95='Manual Data'!N81,ROUND(C94*103%-0.01,0),C94),'Manual Data'!E81),-1),NBPH1))</f>
        <v>42350</v>
      </c>
      <c r="D95" s="117"/>
      <c r="E95" s="33">
        <f t="shared" si="37"/>
        <v>30280</v>
      </c>
      <c r="F95" s="33">
        <f>IF($E$5="No",ROUND(IF('Manual Data'!J81=1%,C95*$L$4,C95*'Manual Data'!J81),0),0)</f>
        <v>8470</v>
      </c>
      <c r="G95" s="33">
        <f>IF(C95=0,0,IF($L$5="Yes",IF('Manual Data'!G81=1,IF(OR($K$5="A",$K$5="A-1"),IF(OR($G$2="E1A",$G$2="E2A"),800,1400),IF(NOT(OR($G$2="E1A",$G$2="E2A")),800,500)),'Manual Data'!G81),0))</f>
        <v>1400</v>
      </c>
      <c r="H95" s="33">
        <v>0</v>
      </c>
      <c r="I95" s="33">
        <f t="shared" si="40"/>
        <v>847</v>
      </c>
      <c r="J95" s="33"/>
      <c r="K95" s="64">
        <f t="shared" si="41"/>
        <v>83347</v>
      </c>
      <c r="L95" s="31">
        <f>IF(C95=0,0,MIN(ROUNDUP(IF('Manual Data'!I81=1,IF(A95='Manual Data'!N81,ROUND(L94*103%-0.01,0),L94),'Manual Data'!I81),-1),HPS))</f>
        <v>44720</v>
      </c>
      <c r="M95" s="33">
        <f t="shared" si="38"/>
        <v>31975</v>
      </c>
      <c r="N95" s="33">
        <f>IF($E$5="No",ROUND(IF('Manual Data'!J81=1%,C95*$L$4,C95*'Manual Data'!J81),0),0)</f>
        <v>8470</v>
      </c>
      <c r="O95" s="33">
        <f t="shared" si="42"/>
        <v>1400</v>
      </c>
      <c r="P95" s="33">
        <f t="shared" si="43"/>
        <v>0</v>
      </c>
      <c r="Q95" s="33">
        <f t="shared" si="31"/>
        <v>847</v>
      </c>
      <c r="R95" s="33">
        <f t="shared" si="44"/>
        <v>0</v>
      </c>
      <c r="S95" s="64">
        <f t="shared" si="45"/>
        <v>87412</v>
      </c>
      <c r="T95" s="35">
        <f t="shared" si="46"/>
        <v>4065</v>
      </c>
      <c r="U95" s="55"/>
      <c r="V95" s="120"/>
      <c r="W95" s="120"/>
      <c r="X95" s="120"/>
      <c r="Y95" s="18">
        <v>71.5</v>
      </c>
      <c r="AB95" s="158">
        <f>MIN(IF('Manual Data'!D80=1,IF(A95=$E$4,AB94+INC1,AB94),'Manual Data'!D80),OBPH1)</f>
        <v>18250</v>
      </c>
    </row>
    <row r="96" spans="1:28" ht="12">
      <c r="A96" s="31" t="s">
        <v>15</v>
      </c>
      <c r="B96" s="32" t="s">
        <v>124</v>
      </c>
      <c r="C96" s="31">
        <f>IF(C95=0,0,MIN(ROUNDUP(IF('Manual Data'!E82=1,IF(A96='Manual Data'!N82,ROUND(C95*103%-0.01,0),C95),'Manual Data'!E82),-1),NBPH1))</f>
        <v>42350</v>
      </c>
      <c r="D96" s="117"/>
      <c r="E96" s="33">
        <f t="shared" si="37"/>
        <v>30280</v>
      </c>
      <c r="F96" s="33">
        <f>IF($E$5="No",ROUND(IF('Manual Data'!J82=1%,C96*$L$4,C96*'Manual Data'!J82),0),0)</f>
        <v>8470</v>
      </c>
      <c r="G96" s="33">
        <f>IF(C96=0,0,IF($L$5="Yes",IF('Manual Data'!G82=1,IF(OR($K$5="A",$K$5="A-1"),IF(OR($G$2="E1A",$G$2="E2A"),800,1400),IF(NOT(OR($G$2="E1A",$G$2="E2A")),800,500)),'Manual Data'!G82),0))</f>
        <v>1400</v>
      </c>
      <c r="H96" s="33">
        <v>0</v>
      </c>
      <c r="I96" s="33">
        <f t="shared" si="40"/>
        <v>847</v>
      </c>
      <c r="J96" s="33"/>
      <c r="K96" s="64">
        <f t="shared" si="41"/>
        <v>83347</v>
      </c>
      <c r="L96" s="31">
        <f>IF(C96=0,0,MIN(ROUNDUP(IF('Manual Data'!I82=1,IF(A96='Manual Data'!N82,ROUND(L95*103%-0.01,0),L95),'Manual Data'!I82),-1),HPS))</f>
        <v>44720</v>
      </c>
      <c r="M96" s="33">
        <f t="shared" si="38"/>
        <v>31975</v>
      </c>
      <c r="N96" s="33">
        <f>IF($E$5="No",ROUND(IF('Manual Data'!J82=1%,C96*$L$4,C96*'Manual Data'!J82),0),0)</f>
        <v>8470</v>
      </c>
      <c r="O96" s="33">
        <f t="shared" si="42"/>
        <v>1400</v>
      </c>
      <c r="P96" s="33">
        <f t="shared" si="43"/>
        <v>0</v>
      </c>
      <c r="Q96" s="33">
        <f t="shared" si="31"/>
        <v>847</v>
      </c>
      <c r="R96" s="33">
        <f t="shared" si="44"/>
        <v>0</v>
      </c>
      <c r="S96" s="64">
        <f t="shared" si="45"/>
        <v>87412</v>
      </c>
      <c r="T96" s="35">
        <f t="shared" si="46"/>
        <v>4065</v>
      </c>
      <c r="U96" s="55"/>
      <c r="V96" s="120"/>
      <c r="W96" s="120"/>
      <c r="X96" s="120"/>
      <c r="Y96" s="18">
        <v>71.5</v>
      </c>
      <c r="AB96" s="158">
        <f>MIN(IF('Manual Data'!D81=1,IF(A96=$E$4,AB95+INC1,AB95),'Manual Data'!D81),OBPH1)</f>
        <v>18250</v>
      </c>
    </row>
    <row r="97" spans="1:28" ht="12">
      <c r="A97" s="31" t="s">
        <v>16</v>
      </c>
      <c r="B97" s="32" t="s">
        <v>124</v>
      </c>
      <c r="C97" s="31">
        <f>IF(C96=0,0,MIN(ROUNDUP(IF('Manual Data'!E83=1,IF(A97='Manual Data'!N83,ROUND(C96*103%-0.01,0),C96),'Manual Data'!E83),-1),NBPH1))</f>
        <v>42350</v>
      </c>
      <c r="D97" s="117"/>
      <c r="E97" s="33">
        <f t="shared" si="37"/>
        <v>31720</v>
      </c>
      <c r="F97" s="33">
        <f>IF($E$5="No",ROUND(IF('Manual Data'!J83=1%,C97*$L$4,C97*'Manual Data'!J83),0),0)</f>
        <v>8470</v>
      </c>
      <c r="G97" s="33">
        <f>IF(C97=0,0,IF($L$5="Yes",IF('Manual Data'!G83=1,IF(OR($K$5="A",$K$5="A-1"),IF(OR($G$2="E1A",$G$2="E2A"),800,1400),IF(NOT(OR($G$2="E1A",$G$2="E2A")),800,500)),'Manual Data'!G83),0))</f>
        <v>1400</v>
      </c>
      <c r="H97" s="33">
        <v>0</v>
      </c>
      <c r="I97" s="33">
        <f t="shared" si="40"/>
        <v>847</v>
      </c>
      <c r="J97" s="33"/>
      <c r="K97" s="64">
        <f t="shared" si="41"/>
        <v>84787</v>
      </c>
      <c r="L97" s="31">
        <f>IF(C97=0,0,MIN(ROUNDUP(IF('Manual Data'!I83=1,IF(A97='Manual Data'!N83,ROUND(L96*103%-0.01,0),L96),'Manual Data'!I83),-1),HPS))</f>
        <v>44720</v>
      </c>
      <c r="M97" s="33">
        <f t="shared" si="38"/>
        <v>33495</v>
      </c>
      <c r="N97" s="33">
        <f>IF($E$5="No",ROUND(IF('Manual Data'!J83=1%,C97*$L$4,C97*'Manual Data'!J83),0),0)</f>
        <v>8470</v>
      </c>
      <c r="O97" s="33">
        <f t="shared" si="42"/>
        <v>1400</v>
      </c>
      <c r="P97" s="33">
        <f t="shared" si="43"/>
        <v>0</v>
      </c>
      <c r="Q97" s="33">
        <f t="shared" si="31"/>
        <v>847</v>
      </c>
      <c r="R97" s="33">
        <f t="shared" si="44"/>
        <v>0</v>
      </c>
      <c r="S97" s="64">
        <f t="shared" si="45"/>
        <v>88932</v>
      </c>
      <c r="T97" s="35">
        <f t="shared" si="46"/>
        <v>4145</v>
      </c>
      <c r="U97" s="55"/>
      <c r="V97" s="120"/>
      <c r="W97" s="120"/>
      <c r="X97" s="120"/>
      <c r="Y97" s="18">
        <v>74.9</v>
      </c>
      <c r="AB97" s="158">
        <f>MIN(IF('Manual Data'!D82=1,IF(A97=$E$4,AB96+INC1,AB96),'Manual Data'!D82),OBPH1)</f>
        <v>18250</v>
      </c>
    </row>
    <row r="98" spans="1:28" ht="12">
      <c r="A98" s="31" t="s">
        <v>17</v>
      </c>
      <c r="B98" s="32" t="s">
        <v>124</v>
      </c>
      <c r="C98" s="31">
        <f>IF(C97=0,0,MIN(ROUNDUP(IF('Manual Data'!E84=1,IF(A98='Manual Data'!N84,ROUND(C97*103%-0.01,0),C97),'Manual Data'!E84),-1),NBPH1))</f>
        <v>42350</v>
      </c>
      <c r="D98" s="117"/>
      <c r="E98" s="33">
        <f t="shared" si="37"/>
        <v>31720</v>
      </c>
      <c r="F98" s="33">
        <f>IF($E$5="No",ROUND(IF('Manual Data'!J84=1%,C98*$L$4,C98*'Manual Data'!J84),0),0)</f>
        <v>8470</v>
      </c>
      <c r="G98" s="33">
        <f>IF(C98=0,0,IF($L$5="Yes",IF('Manual Data'!G84=1,IF(OR($K$5="A",$K$5="A-1"),IF(OR($G$2="E1A",$G$2="E2A"),800,1400),IF(NOT(OR($G$2="E1A",$G$2="E2A")),800,500)),'Manual Data'!G84),0))</f>
        <v>1400</v>
      </c>
      <c r="H98" s="33">
        <v>0</v>
      </c>
      <c r="I98" s="33">
        <f t="shared" si="40"/>
        <v>847</v>
      </c>
      <c r="J98" s="33"/>
      <c r="K98" s="64">
        <f t="shared" si="41"/>
        <v>84787</v>
      </c>
      <c r="L98" s="31">
        <f>IF(C98=0,0,MIN(ROUNDUP(IF('Manual Data'!I84=1,IF(A98='Manual Data'!N84,ROUND(L97*103%-0.01,0),L97),'Manual Data'!I84),-1),HPS))</f>
        <v>44720</v>
      </c>
      <c r="M98" s="33">
        <f t="shared" si="38"/>
        <v>33495</v>
      </c>
      <c r="N98" s="33">
        <f>IF($E$5="No",ROUND(IF('Manual Data'!J84=1%,C98*$L$4,C98*'Manual Data'!J84),0),0)</f>
        <v>8470</v>
      </c>
      <c r="O98" s="33">
        <f t="shared" si="42"/>
        <v>1400</v>
      </c>
      <c r="P98" s="33">
        <f t="shared" si="43"/>
        <v>0</v>
      </c>
      <c r="Q98" s="33">
        <f t="shared" si="31"/>
        <v>847</v>
      </c>
      <c r="R98" s="33">
        <f t="shared" si="44"/>
        <v>0</v>
      </c>
      <c r="S98" s="64">
        <f t="shared" si="45"/>
        <v>88932</v>
      </c>
      <c r="T98" s="35">
        <f t="shared" si="46"/>
        <v>4145</v>
      </c>
      <c r="U98" s="55"/>
      <c r="V98" s="120"/>
      <c r="W98" s="120"/>
      <c r="X98" s="120"/>
      <c r="Y98" s="18">
        <v>74.9</v>
      </c>
      <c r="AB98" s="158">
        <f>MIN(IF('Manual Data'!D83=1,IF(A98=$E$4,AB97+INC1,AB97),'Manual Data'!D83),OBPH1)</f>
        <v>18250</v>
      </c>
    </row>
    <row r="99" spans="1:28" ht="12">
      <c r="A99" s="42" t="s">
        <v>18</v>
      </c>
      <c r="B99" s="43" t="s">
        <v>124</v>
      </c>
      <c r="C99" s="31">
        <f>IF(C98=0,0,MIN(ROUNDUP(IF('Manual Data'!E85=1,IF(A99='Manual Data'!N85,ROUND(C98*103%-0.01,0),C98),'Manual Data'!E85),-1),NBPH1))</f>
        <v>42350</v>
      </c>
      <c r="D99" s="118"/>
      <c r="E99" s="38">
        <f t="shared" si="37"/>
        <v>31720</v>
      </c>
      <c r="F99" s="38">
        <f>IF($E$5="No",ROUND(IF('Manual Data'!J85=1%,C99*$L$4,C99*'Manual Data'!J85),0),0)</f>
        <v>8470</v>
      </c>
      <c r="G99" s="33">
        <f>IF(C99=0,0,IF($L$5="Yes",IF('Manual Data'!G85=1,IF(OR($K$5="A",$K$5="A-1"),IF(OR($G$2="E1A",$G$2="E2A"),800,1400),IF(NOT(OR($G$2="E1A",$G$2="E2A")),800,500)),'Manual Data'!G85),0))</f>
        <v>1400</v>
      </c>
      <c r="H99" s="38">
        <v>0</v>
      </c>
      <c r="I99" s="38">
        <f t="shared" si="40"/>
        <v>847</v>
      </c>
      <c r="J99" s="38"/>
      <c r="K99" s="68">
        <f t="shared" si="41"/>
        <v>84787</v>
      </c>
      <c r="L99" s="42">
        <f>IF(C99=0,0,MIN(ROUNDUP(IF('Manual Data'!I85=1,IF(A99='Manual Data'!N85,ROUND(L98*103%-0.01,0),L98),'Manual Data'!I85),-1),HPS))</f>
        <v>44720</v>
      </c>
      <c r="M99" s="38">
        <f t="shared" si="38"/>
        <v>33495</v>
      </c>
      <c r="N99" s="38">
        <f>IF($E$5="No",ROUND(IF('Manual Data'!J85=1%,C99*$L$4,C99*'Manual Data'!J85),0),0)</f>
        <v>8470</v>
      </c>
      <c r="O99" s="38">
        <f t="shared" si="42"/>
        <v>1400</v>
      </c>
      <c r="P99" s="38">
        <f t="shared" si="43"/>
        <v>0</v>
      </c>
      <c r="Q99" s="38">
        <f t="shared" si="31"/>
        <v>847</v>
      </c>
      <c r="R99" s="38">
        <f t="shared" si="44"/>
        <v>0</v>
      </c>
      <c r="S99" s="68">
        <f t="shared" si="45"/>
        <v>88932</v>
      </c>
      <c r="T99" s="69">
        <f t="shared" si="46"/>
        <v>4145</v>
      </c>
      <c r="U99" s="55"/>
      <c r="V99" s="120"/>
      <c r="W99" s="120"/>
      <c r="X99" s="120"/>
      <c r="Y99" s="18">
        <v>74.9</v>
      </c>
      <c r="AB99" s="158">
        <f>MIN(IF('Manual Data'!D84=1,IF(A99=$E$4,AB98+INC1,AB98),'Manual Data'!D84),OBPH1)</f>
        <v>18250</v>
      </c>
    </row>
    <row r="100" spans="1:26" ht="12">
      <c r="A100" s="138"/>
      <c r="B100" s="130"/>
      <c r="C100" s="129"/>
      <c r="D100" s="44"/>
      <c r="E100" s="44"/>
      <c r="F100" s="44"/>
      <c r="G100" s="44"/>
      <c r="H100" s="44"/>
      <c r="I100" s="44"/>
      <c r="J100" s="44"/>
      <c r="K100" s="20" t="s">
        <v>126</v>
      </c>
      <c r="L100" s="127">
        <f>ROUND((C99/30)*9+(L99/30)*21,0)</f>
        <v>44009</v>
      </c>
      <c r="M100" s="38">
        <f>ROUND((E99/30)*9+(M99/30)*21,0)</f>
        <v>32963</v>
      </c>
      <c r="N100" s="131">
        <f>ROUND((F99/30)*9+(N99/30)*21,0)</f>
        <v>8470</v>
      </c>
      <c r="O100" s="38">
        <f>G99</f>
        <v>1400</v>
      </c>
      <c r="P100" s="38">
        <f>H99</f>
        <v>0</v>
      </c>
      <c r="Q100" s="131">
        <f>ROUND((I99/30)*9+(Q99/30)*21,0)</f>
        <v>847</v>
      </c>
      <c r="R100" s="38">
        <f>J99</f>
        <v>0</v>
      </c>
      <c r="S100" s="68">
        <f>SUM(L100:R100)</f>
        <v>87689</v>
      </c>
      <c r="T100" s="69">
        <f>S100-K99</f>
        <v>2902</v>
      </c>
      <c r="U100" s="55"/>
      <c r="V100" s="55"/>
      <c r="W100" s="55"/>
      <c r="X100" s="55"/>
      <c r="Z100" s="158"/>
    </row>
    <row r="101" spans="18:25" ht="12.75" customHeight="1">
      <c r="R101" s="119"/>
      <c r="T101" s="128">
        <f>SUM(T48:T90)+X35</f>
        <v>190905</v>
      </c>
      <c r="U101" s="66"/>
      <c r="V101" s="66"/>
      <c r="W101" s="66"/>
      <c r="X101" s="66"/>
      <c r="Y101" s="159"/>
    </row>
  </sheetData>
  <sheetProtection password="C784" sheet="1" selectLockedCells="1"/>
  <mergeCells count="27">
    <mergeCell ref="M2:N2"/>
    <mergeCell ref="O2:P2"/>
    <mergeCell ref="O3:Q3"/>
    <mergeCell ref="A3:D3"/>
    <mergeCell ref="K3:L3"/>
    <mergeCell ref="A4:D4"/>
    <mergeCell ref="A1:D1"/>
    <mergeCell ref="E1:G1"/>
    <mergeCell ref="K1:L1"/>
    <mergeCell ref="A2:D2"/>
    <mergeCell ref="E2:F2"/>
    <mergeCell ref="K2:L2"/>
    <mergeCell ref="T41:U41"/>
    <mergeCell ref="T42:U42"/>
    <mergeCell ref="T46:T47"/>
    <mergeCell ref="U7:W7"/>
    <mergeCell ref="A5:D5"/>
    <mergeCell ref="A46:B47"/>
    <mergeCell ref="C46:K46"/>
    <mergeCell ref="L46:S46"/>
    <mergeCell ref="X7:X8"/>
    <mergeCell ref="A7:B8"/>
    <mergeCell ref="C7:K7"/>
    <mergeCell ref="L7:S7"/>
    <mergeCell ref="T7:T8"/>
    <mergeCell ref="T40:U40"/>
    <mergeCell ref="T38:U38"/>
  </mergeCells>
  <dataValidations count="9">
    <dataValidation errorStyle="warning" allowBlank="1" showInputMessage="1" showErrorMessage="1" error="The value should be 40% or 60%" sqref="P40"/>
    <dataValidation errorStyle="warning" type="list" allowBlank="1" showDropDown="1" showInputMessage="1" showErrorMessage="1" error="The value should be 0%,10%,20%,30%" sqref="R41">
      <formula1>"30%,20%,10%,0%"</formula1>
    </dataValidation>
    <dataValidation type="list" allowBlank="1" showInputMessage="1" showErrorMessage="1" sqref="E3">
      <formula1>INDIRECT($AH$21)</formula1>
    </dataValidation>
    <dataValidation type="list" allowBlank="1" showInputMessage="1" showErrorMessage="1" sqref="E5">
      <formula1>"No,Yes"</formula1>
    </dataValidation>
    <dataValidation type="list" allowBlank="1" showInputMessage="1" showErrorMessage="1" sqref="E2 O2">
      <formula1>$AH$9:$AH$19</formula1>
    </dataValidation>
    <dataValidation type="list" allowBlank="1" showInputMessage="1" showErrorMessage="1" sqref="E4">
      <formula1>$A$9:$A$20</formula1>
    </dataValidation>
    <dataValidation errorStyle="warning" allowBlank="1" showErrorMessage="1" sqref="K4"/>
    <dataValidation type="list" allowBlank="1" showInputMessage="1" showErrorMessage="1" sqref="L5">
      <formula1>"Yes,No"</formula1>
    </dataValidation>
    <dataValidation type="list" allowBlank="1" showInputMessage="1" showErrorMessage="1" sqref="K5">
      <formula1>INDIRECT($AE$1)</formula1>
    </dataValidation>
  </dataValidations>
  <printOptions horizontalCentered="1"/>
  <pageMargins left="0.078740157480315" right="0.078740157480315" top="0.196850393700787" bottom="0.196850393700787" header="0.261811024" footer="0.261811024"/>
  <pageSetup horizontalDpi="300" verticalDpi="300" orientation="landscape" paperSize="9" scale="85" r:id="rId4"/>
  <rowBreaks count="1" manualBreakCount="1">
    <brk id="44" max="23" man="1"/>
  </rowBreaks>
  <colBreaks count="1" manualBreakCount="1">
    <brk id="25" max="65535" man="1"/>
  </colBreaks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P88"/>
  <sheetViews>
    <sheetView showGridLines="0" zoomScaleSheetLayoutView="100" zoomScalePageLayoutView="0" workbookViewId="0" topLeftCell="A4">
      <pane ySplit="4" topLeftCell="A8" activePane="bottomLeft" state="frozen"/>
      <selection pane="topLeft" activeCell="A4" sqref="A4"/>
      <selection pane="bottomLeft" activeCell="C8" sqref="C8"/>
    </sheetView>
  </sheetViews>
  <sheetFormatPr defaultColWidth="9.140625" defaultRowHeight="12.75"/>
  <cols>
    <col min="2" max="2" width="3.7109375" style="0" customWidth="1"/>
    <col min="3" max="4" width="10.421875" style="9" customWidth="1"/>
    <col min="5" max="7" width="10.7109375" style="0" customWidth="1"/>
    <col min="8" max="8" width="10.7109375" style="9" hidden="1" customWidth="1"/>
    <col min="9" max="9" width="10.7109375" style="0" customWidth="1"/>
    <col min="10" max="11" width="10.7109375" style="0" hidden="1" customWidth="1"/>
    <col min="12" max="12" width="7.140625" style="0" customWidth="1"/>
    <col min="13" max="13" width="6.8515625" style="0" customWidth="1"/>
    <col min="14" max="14" width="6.140625" style="0" customWidth="1"/>
    <col min="15" max="15" width="5.8515625" style="154" customWidth="1"/>
    <col min="16" max="16" width="7.421875" style="154" customWidth="1"/>
    <col min="17" max="17" width="6.57421875" style="154" customWidth="1"/>
    <col min="18" max="30" width="6.28125" style="154" customWidth="1"/>
    <col min="31" max="31" width="6.7109375" style="154" customWidth="1"/>
    <col min="32" max="33" width="6.28125" style="154" customWidth="1"/>
    <col min="34" max="34" width="7.57421875" style="154" customWidth="1"/>
    <col min="35" max="35" width="10.00390625" style="0" customWidth="1"/>
  </cols>
  <sheetData>
    <row r="1" spans="3:34" s="1" customFormat="1" ht="15">
      <c r="C1" s="7"/>
      <c r="D1" s="7"/>
      <c r="F1" s="2"/>
      <c r="H1" s="7"/>
      <c r="K1"/>
      <c r="L1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3:34" s="1" customFormat="1" ht="15">
      <c r="C2" s="7"/>
      <c r="D2" s="7"/>
      <c r="F2" s="2"/>
      <c r="H2" s="7"/>
      <c r="K2"/>
      <c r="L2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3:34" s="1" customFormat="1" ht="15">
      <c r="C3" s="7"/>
      <c r="D3" s="7"/>
      <c r="F3" s="2"/>
      <c r="H3" s="7"/>
      <c r="K3"/>
      <c r="L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3:34" s="1" customFormat="1" ht="15">
      <c r="C4" s="7"/>
      <c r="D4" s="7"/>
      <c r="F4" s="2"/>
      <c r="H4" s="7"/>
      <c r="K4"/>
      <c r="L4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3:34" s="1" customFormat="1" ht="15">
      <c r="C5" s="136" t="s">
        <v>133</v>
      </c>
      <c r="D5" s="7"/>
      <c r="F5" s="2"/>
      <c r="H5" s="7"/>
      <c r="K5"/>
      <c r="L5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s="1" customFormat="1" ht="15.75">
      <c r="A6" s="195" t="s">
        <v>5</v>
      </c>
      <c r="B6" s="193" t="s">
        <v>6</v>
      </c>
      <c r="C6" s="134"/>
      <c r="D6" s="8"/>
      <c r="E6" s="192" t="s">
        <v>3</v>
      </c>
      <c r="F6" s="192"/>
      <c r="G6" s="3"/>
      <c r="H6" s="10"/>
      <c r="I6" s="133" t="s">
        <v>4</v>
      </c>
      <c r="J6" s="4"/>
      <c r="K6" s="3"/>
      <c r="L6" s="197" t="s">
        <v>136</v>
      </c>
      <c r="M6" s="197" t="s">
        <v>135</v>
      </c>
      <c r="N6" s="200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7" spans="1:14" ht="15" customHeight="1">
      <c r="A7" s="196"/>
      <c r="B7" s="194"/>
      <c r="C7" s="79" t="s">
        <v>116</v>
      </c>
      <c r="D7" s="80" t="s">
        <v>122</v>
      </c>
      <c r="E7" s="79" t="s">
        <v>29</v>
      </c>
      <c r="F7" s="79" t="s">
        <v>30</v>
      </c>
      <c r="G7" s="79" t="s">
        <v>8</v>
      </c>
      <c r="H7" s="81" t="s">
        <v>116</v>
      </c>
      <c r="I7" s="79" t="s">
        <v>29</v>
      </c>
      <c r="J7" s="79" t="s">
        <v>30</v>
      </c>
      <c r="K7" s="79" t="s">
        <v>8</v>
      </c>
      <c r="L7" s="199"/>
      <c r="M7" s="198"/>
      <c r="N7" s="200"/>
    </row>
    <row r="8" spans="1:42" ht="12.75">
      <c r="A8" s="82" t="s">
        <v>13</v>
      </c>
      <c r="B8" s="83" t="s">
        <v>22</v>
      </c>
      <c r="C8" s="84"/>
      <c r="D8" s="85">
        <f>MIN(IF(C8&lt;&gt;0,P8,1),OBPH1)</f>
        <v>1</v>
      </c>
      <c r="E8" s="85">
        <f>IF(C8=0,1,IF(C8="Y",1,C8))</f>
        <v>1</v>
      </c>
      <c r="F8" s="86">
        <v>0.01</v>
      </c>
      <c r="G8" s="87">
        <v>1</v>
      </c>
      <c r="H8" s="88"/>
      <c r="I8" s="89">
        <f>IF(H8=0,1,IF(H8="Y",1,H8))</f>
        <v>1</v>
      </c>
      <c r="J8" s="90"/>
      <c r="K8" s="91"/>
      <c r="L8" s="112"/>
      <c r="M8" s="148">
        <f>IF(C8=0,0,1)</f>
        <v>0</v>
      </c>
      <c r="N8" s="152" t="str">
        <f>IF(L8=0,'Arrear_78.2'!E4,PROPER(LEFT(L8,3)))</f>
        <v>Jul</v>
      </c>
      <c r="O8" s="155">
        <f>INCN</f>
        <v>350</v>
      </c>
      <c r="P8" s="156"/>
      <c r="R8" s="154">
        <f>INDEX('Arrear_78.2'!$AH$9:'Arrear_78.2'!$AQ$19,MATCH('Manual Data'!$M8+OI,'Arrear_78.2'!$AQ$9:'Arrear_78.2'!$AQ$19,0),5)</f>
        <v>18250</v>
      </c>
      <c r="S8" s="154">
        <f>INDEX('Arrear_78.2'!$AH$9:'Arrear_78.2'!$AQ$19,MATCH('Manual Data'!$M8+OI,'Arrear_78.2'!$AQ$9:'Arrear_78.2'!$AQ$19,0),4)</f>
        <v>13000</v>
      </c>
      <c r="T8" s="154">
        <f>IF(S8&lt;$R$8,S8+$O8,$R8)</f>
        <v>13350</v>
      </c>
      <c r="U8" s="154">
        <f aca="true" t="shared" si="0" ref="U8:AH8">IF(T8&lt;$R$8,T8+$O8,$R8)</f>
        <v>13700</v>
      </c>
      <c r="V8" s="154">
        <f t="shared" si="0"/>
        <v>14050</v>
      </c>
      <c r="W8" s="154">
        <f t="shared" si="0"/>
        <v>14400</v>
      </c>
      <c r="X8" s="154">
        <f t="shared" si="0"/>
        <v>14750</v>
      </c>
      <c r="Y8" s="154">
        <f t="shared" si="0"/>
        <v>15100</v>
      </c>
      <c r="Z8" s="154">
        <f t="shared" si="0"/>
        <v>15450</v>
      </c>
      <c r="AA8" s="154">
        <f t="shared" si="0"/>
        <v>15800</v>
      </c>
      <c r="AB8" s="154">
        <f t="shared" si="0"/>
        <v>16150</v>
      </c>
      <c r="AC8" s="154">
        <f t="shared" si="0"/>
        <v>16500</v>
      </c>
      <c r="AD8" s="154">
        <f t="shared" si="0"/>
        <v>16850</v>
      </c>
      <c r="AE8" s="154">
        <f t="shared" si="0"/>
        <v>17200</v>
      </c>
      <c r="AF8" s="154">
        <f t="shared" si="0"/>
        <v>17550</v>
      </c>
      <c r="AG8" s="154">
        <f t="shared" si="0"/>
        <v>17900</v>
      </c>
      <c r="AH8" s="154">
        <f t="shared" si="0"/>
        <v>18250</v>
      </c>
      <c r="AK8">
        <f aca="true" t="shared" si="1" ref="AK8:AP8">IF(AJ8&lt;AI8,AJ8+$O8,"")</f>
      </c>
      <c r="AL8">
        <f t="shared" si="1"/>
      </c>
      <c r="AM8">
        <f t="shared" si="1"/>
      </c>
      <c r="AN8">
        <f t="shared" si="1"/>
      </c>
      <c r="AO8">
        <f t="shared" si="1"/>
      </c>
      <c r="AP8">
        <f t="shared" si="1"/>
      </c>
    </row>
    <row r="9" spans="1:34" ht="12.75">
      <c r="A9" s="92" t="s">
        <v>14</v>
      </c>
      <c r="B9" s="93" t="s">
        <v>22</v>
      </c>
      <c r="C9" s="94"/>
      <c r="D9" s="85">
        <f>MIN(IF(C9&lt;&gt;0,P9,1),OBPH1)</f>
        <v>1</v>
      </c>
      <c r="E9" s="95">
        <f>IF(C9=0,1,IF(C9="Y",IF(A9=N9,ROUNDUP(ROUND('Arrear_78.2'!L9*106%-0.01,0),-1),ROUNDUP(ROUND('Arrear_78.2'!L9*103%-0.01,0),-1)),C9))</f>
        <v>1</v>
      </c>
      <c r="F9" s="86">
        <v>0.01</v>
      </c>
      <c r="G9" s="87">
        <v>1</v>
      </c>
      <c r="H9" s="96"/>
      <c r="I9" s="95">
        <f>IF(C9=0,1,IF(C9="Y",IF(A9=N9,ROUNDUP(ROUND('Arrear_78.2'!U9*106%-0.01,0),-1),ROUNDUP(ROUND('Arrear_78.2'!U9*103%-0.01,0),-1)),ROUNDUP(ROUND(E9*1.05595-0.01,0),-1)))</f>
        <v>1</v>
      </c>
      <c r="J9" s="97"/>
      <c r="K9" s="98"/>
      <c r="L9" s="151"/>
      <c r="M9" s="149">
        <f>IF(C9=0,M8,M8+1)</f>
        <v>0</v>
      </c>
      <c r="N9" s="152" t="str">
        <f>IF(L9=0,N8,PROPER(LEFT(L9,3)))</f>
        <v>Jul</v>
      </c>
      <c r="O9" s="155">
        <f>INCN</f>
        <v>350</v>
      </c>
      <c r="P9" s="156">
        <f>BP</f>
        <v>13000</v>
      </c>
      <c r="R9" s="154">
        <f>INDEX('Arrear_78.2'!$AH$9:'Arrear_78.2'!$AQ$19,MATCH('Manual Data'!$M9+OI,'Arrear_78.2'!$AQ$9:'Arrear_78.2'!$AQ$19,0),5)</f>
        <v>18250</v>
      </c>
      <c r="S9" s="154">
        <f>INDEX('Arrear_78.2'!$AH$9:'Arrear_78.2'!$AQ$19,MATCH('Manual Data'!$M9+OI,'Arrear_78.2'!$AQ$9:'Arrear_78.2'!$AQ$19,0),4)</f>
        <v>13000</v>
      </c>
      <c r="T9" s="154">
        <f aca="true" t="shared" si="2" ref="T9:AH10">IF(S9&lt;$R$8,S9+$O9,$R9)</f>
        <v>13350</v>
      </c>
      <c r="U9" s="154">
        <f t="shared" si="2"/>
        <v>13700</v>
      </c>
      <c r="V9" s="154">
        <f t="shared" si="2"/>
        <v>14050</v>
      </c>
      <c r="W9" s="154">
        <f t="shared" si="2"/>
        <v>14400</v>
      </c>
      <c r="X9" s="154">
        <f t="shared" si="2"/>
        <v>14750</v>
      </c>
      <c r="Y9" s="154">
        <f t="shared" si="2"/>
        <v>15100</v>
      </c>
      <c r="Z9" s="154">
        <f t="shared" si="2"/>
        <v>15450</v>
      </c>
      <c r="AA9" s="154">
        <f t="shared" si="2"/>
        <v>15800</v>
      </c>
      <c r="AB9" s="154">
        <f t="shared" si="2"/>
        <v>16150</v>
      </c>
      <c r="AC9" s="154">
        <f t="shared" si="2"/>
        <v>16500</v>
      </c>
      <c r="AD9" s="154">
        <f t="shared" si="2"/>
        <v>16850</v>
      </c>
      <c r="AE9" s="154">
        <f t="shared" si="2"/>
        <v>17200</v>
      </c>
      <c r="AF9" s="154">
        <f t="shared" si="2"/>
        <v>17550</v>
      </c>
      <c r="AG9" s="154">
        <f t="shared" si="2"/>
        <v>17900</v>
      </c>
      <c r="AH9" s="154">
        <f t="shared" si="2"/>
        <v>18250</v>
      </c>
    </row>
    <row r="10" spans="1:34" ht="12.75">
      <c r="A10" s="92" t="s">
        <v>15</v>
      </c>
      <c r="B10" s="93" t="s">
        <v>22</v>
      </c>
      <c r="C10" s="122"/>
      <c r="D10" s="85">
        <f>MIN(IF(C10&lt;&gt;0,P10,1),OBPH1)</f>
        <v>1</v>
      </c>
      <c r="E10" s="95">
        <f>IF(C10=0,1,IF(C10="Y",IF(A10=N10,ROUNDUP(ROUND('Arrear_78.2'!L10*106%-0.01,0),-1),ROUNDUP(ROUND('Arrear_78.2'!L10*103%-0.01,0),-1)),C10))</f>
        <v>1</v>
      </c>
      <c r="F10" s="86">
        <v>0.01</v>
      </c>
      <c r="G10" s="87">
        <v>1</v>
      </c>
      <c r="H10" s="100"/>
      <c r="I10" s="95">
        <f>IF(C10=0,1,IF(C10="Y",IF(A10=N10,ROUNDUP(ROUND('Arrear_78.2'!U10*106%-0.01,0),-1),ROUNDUP(ROUND('Arrear_78.2'!U10*103%-0.01,0),-1)),ROUNDUP(ROUND(E10*1.05595-0.01,0),-1)))</f>
        <v>1</v>
      </c>
      <c r="J10" s="97"/>
      <c r="K10" s="98"/>
      <c r="L10" s="112"/>
      <c r="M10" s="149">
        <f aca="true" t="shared" si="3" ref="M10:M73">IF(C10=0,M9,M9+1)</f>
        <v>0</v>
      </c>
      <c r="N10" s="152" t="str">
        <f aca="true" t="shared" si="4" ref="N10:N73">IF(L10=0,N9,PROPER(LEFT(L10,3)))</f>
        <v>Jul</v>
      </c>
      <c r="O10" s="155">
        <f>INCN</f>
        <v>350</v>
      </c>
      <c r="P10" s="156">
        <f>BP</f>
        <v>13000</v>
      </c>
      <c r="R10" s="154">
        <f>INDEX('Arrear_78.2'!$AH$9:'Arrear_78.2'!$AQ$19,MATCH('Manual Data'!$M10+OI,'Arrear_78.2'!$AQ$9:'Arrear_78.2'!$AQ$19,0),5)</f>
        <v>18250</v>
      </c>
      <c r="S10" s="154">
        <f>INDEX('Arrear_78.2'!$AH$9:'Arrear_78.2'!$AQ$19,MATCH('Manual Data'!$M10+OI,'Arrear_78.2'!$AQ$9:'Arrear_78.2'!$AQ$19,0),4)</f>
        <v>13000</v>
      </c>
      <c r="T10" s="154">
        <f aca="true" t="shared" si="5" ref="T10:AE10">IF(S10&lt;$R$8,S10+$O10,$R10)</f>
        <v>13350</v>
      </c>
      <c r="U10" s="154">
        <f t="shared" si="5"/>
        <v>13700</v>
      </c>
      <c r="V10" s="154">
        <f t="shared" si="5"/>
        <v>14050</v>
      </c>
      <c r="W10" s="154">
        <f t="shared" si="5"/>
        <v>14400</v>
      </c>
      <c r="X10" s="154">
        <f t="shared" si="5"/>
        <v>14750</v>
      </c>
      <c r="Y10" s="154">
        <f t="shared" si="5"/>
        <v>15100</v>
      </c>
      <c r="Z10" s="154">
        <f t="shared" si="5"/>
        <v>15450</v>
      </c>
      <c r="AA10" s="154">
        <f t="shared" si="5"/>
        <v>15800</v>
      </c>
      <c r="AB10" s="154">
        <f t="shared" si="5"/>
        <v>16150</v>
      </c>
      <c r="AC10" s="154">
        <f t="shared" si="5"/>
        <v>16500</v>
      </c>
      <c r="AD10" s="154">
        <f t="shared" si="5"/>
        <v>16850</v>
      </c>
      <c r="AE10" s="154">
        <f t="shared" si="5"/>
        <v>17200</v>
      </c>
      <c r="AF10" s="154">
        <f t="shared" si="2"/>
        <v>17550</v>
      </c>
      <c r="AG10" s="154">
        <f t="shared" si="2"/>
        <v>17900</v>
      </c>
      <c r="AH10" s="154">
        <f t="shared" si="2"/>
        <v>18250</v>
      </c>
    </row>
    <row r="11" spans="1:34" ht="12.75">
      <c r="A11" s="92" t="s">
        <v>16</v>
      </c>
      <c r="B11" s="93" t="s">
        <v>22</v>
      </c>
      <c r="C11" s="122"/>
      <c r="D11" s="85">
        <f>MIN(IF(C11&lt;&gt;0,P11,1),OBPH1)</f>
        <v>1</v>
      </c>
      <c r="E11" s="95">
        <f>IF(C11=0,1,IF(C11="Y",IF(A11=N11,ROUNDUP(ROUND('Arrear_78.2'!L11*106%-0.01,0),-1),ROUNDUP(ROUND('Arrear_78.2'!L11*103%-0.01,0),-1)),C11))</f>
        <v>1</v>
      </c>
      <c r="F11" s="86">
        <v>0.01</v>
      </c>
      <c r="G11" s="87">
        <v>1</v>
      </c>
      <c r="H11" s="100"/>
      <c r="I11" s="95">
        <f>IF(C11=0,1,IF(C11="Y",IF(A11=N11,ROUNDUP(ROUND('Arrear_78.2'!U11*106%-0.01,0),-1),ROUNDUP(ROUND('Arrear_78.2'!U11*103%-0.01,0),-1)),ROUNDUP(ROUND(E11*1.05595-0.01,0),-1)))</f>
        <v>1</v>
      </c>
      <c r="J11" s="97"/>
      <c r="K11" s="98"/>
      <c r="L11" s="112"/>
      <c r="M11" s="149">
        <f t="shared" si="3"/>
        <v>0</v>
      </c>
      <c r="N11" s="152" t="str">
        <f t="shared" si="4"/>
        <v>Jul</v>
      </c>
      <c r="O11" s="155">
        <f>INCN</f>
        <v>350</v>
      </c>
      <c r="P11" s="156">
        <f>BP</f>
        <v>13000</v>
      </c>
      <c r="R11" s="154">
        <f>INDEX('Arrear_78.2'!$AH$9:'Arrear_78.2'!$AQ$19,MATCH('Manual Data'!$M11+OI,'Arrear_78.2'!$AQ$9:'Arrear_78.2'!$AQ$19,0),5)</f>
        <v>18250</v>
      </c>
      <c r="S11" s="154">
        <f>INDEX('Arrear_78.2'!$AH$9:'Arrear_78.2'!$AQ$19,MATCH('Manual Data'!$M11+OI,'Arrear_78.2'!$AQ$9:'Arrear_78.2'!$AQ$19,0),4)</f>
        <v>13000</v>
      </c>
      <c r="T11" s="154">
        <f aca="true" t="shared" si="6" ref="T11:AH11">IF(S11&lt;$R$8,S11+$O11,$R11)</f>
        <v>13350</v>
      </c>
      <c r="U11" s="154">
        <f t="shared" si="6"/>
        <v>13700</v>
      </c>
      <c r="V11" s="154">
        <f t="shared" si="6"/>
        <v>14050</v>
      </c>
      <c r="W11" s="154">
        <f t="shared" si="6"/>
        <v>14400</v>
      </c>
      <c r="X11" s="154">
        <f t="shared" si="6"/>
        <v>14750</v>
      </c>
      <c r="Y11" s="154">
        <f t="shared" si="6"/>
        <v>15100</v>
      </c>
      <c r="Z11" s="154">
        <f t="shared" si="6"/>
        <v>15450</v>
      </c>
      <c r="AA11" s="154">
        <f t="shared" si="6"/>
        <v>15800</v>
      </c>
      <c r="AB11" s="154">
        <f t="shared" si="6"/>
        <v>16150</v>
      </c>
      <c r="AC11" s="154">
        <f t="shared" si="6"/>
        <v>16500</v>
      </c>
      <c r="AD11" s="154">
        <f t="shared" si="6"/>
        <v>16850</v>
      </c>
      <c r="AE11" s="154">
        <f t="shared" si="6"/>
        <v>17200</v>
      </c>
      <c r="AF11" s="154">
        <f t="shared" si="6"/>
        <v>17550</v>
      </c>
      <c r="AG11" s="154">
        <f t="shared" si="6"/>
        <v>17900</v>
      </c>
      <c r="AH11" s="154">
        <f t="shared" si="6"/>
        <v>18250</v>
      </c>
    </row>
    <row r="12" spans="1:34" ht="12.75">
      <c r="A12" s="92" t="s">
        <v>17</v>
      </c>
      <c r="B12" s="93" t="s">
        <v>22</v>
      </c>
      <c r="C12" s="99"/>
      <c r="D12" s="85">
        <f>MIN(IF(C12&lt;&gt;0,P12,1),OBPH1)</f>
        <v>1</v>
      </c>
      <c r="E12" s="95">
        <f>IF(C12=0,1,IF(C12="Y",IF(A12=N12,ROUNDUP(ROUND('Arrear_78.2'!L12*106%-0.01,0),-1),ROUNDUP(ROUND('Arrear_78.2'!L12*103%-0.01,0),-1)),C12))</f>
        <v>1</v>
      </c>
      <c r="F12" s="86">
        <v>0.01</v>
      </c>
      <c r="G12" s="87">
        <v>1</v>
      </c>
      <c r="H12" s="100"/>
      <c r="I12" s="95">
        <f>IF(C12=0,1,IF(C12="Y",IF(A12=N12,ROUNDUP(ROUND('Arrear_78.2'!U12*106%-0.01,0),-1),ROUNDUP(ROUND('Arrear_78.2'!U12*103%-0.01,0),-1)),ROUNDUP(ROUND(E12*1.05595-0.01,0),-1)))</f>
        <v>1</v>
      </c>
      <c r="J12" s="97"/>
      <c r="K12" s="98"/>
      <c r="L12" s="112"/>
      <c r="M12" s="149">
        <f t="shared" si="3"/>
        <v>0</v>
      </c>
      <c r="N12" s="152" t="str">
        <f t="shared" si="4"/>
        <v>Jul</v>
      </c>
      <c r="O12" s="155">
        <f>INCN</f>
        <v>350</v>
      </c>
      <c r="P12" s="156">
        <f>BP</f>
        <v>13000</v>
      </c>
      <c r="R12" s="154">
        <f>INDEX('Arrear_78.2'!$AH$9:'Arrear_78.2'!$AQ$19,MATCH('Manual Data'!$M12+OI,'Arrear_78.2'!$AQ$9:'Arrear_78.2'!$AQ$19,0),5)</f>
        <v>18250</v>
      </c>
      <c r="S12" s="154">
        <f>INDEX('Arrear_78.2'!$AH$9:'Arrear_78.2'!$AQ$19,MATCH('Manual Data'!$M12+OI,'Arrear_78.2'!$AQ$9:'Arrear_78.2'!$AQ$19,0),4)</f>
        <v>13000</v>
      </c>
      <c r="T12" s="154">
        <f aca="true" t="shared" si="7" ref="T12:AH12">IF(S12&lt;$R$8,S12+$O12,$R12)</f>
        <v>13350</v>
      </c>
      <c r="U12" s="154">
        <f t="shared" si="7"/>
        <v>13700</v>
      </c>
      <c r="V12" s="154">
        <f t="shared" si="7"/>
        <v>14050</v>
      </c>
      <c r="W12" s="154">
        <f t="shared" si="7"/>
        <v>14400</v>
      </c>
      <c r="X12" s="154">
        <f t="shared" si="7"/>
        <v>14750</v>
      </c>
      <c r="Y12" s="154">
        <f t="shared" si="7"/>
        <v>15100</v>
      </c>
      <c r="Z12" s="154">
        <f t="shared" si="7"/>
        <v>15450</v>
      </c>
      <c r="AA12" s="154">
        <f t="shared" si="7"/>
        <v>15800</v>
      </c>
      <c r="AB12" s="154">
        <f t="shared" si="7"/>
        <v>16150</v>
      </c>
      <c r="AC12" s="154">
        <f t="shared" si="7"/>
        <v>16500</v>
      </c>
      <c r="AD12" s="154">
        <f t="shared" si="7"/>
        <v>16850</v>
      </c>
      <c r="AE12" s="154">
        <f t="shared" si="7"/>
        <v>17200</v>
      </c>
      <c r="AF12" s="154">
        <f t="shared" si="7"/>
        <v>17550</v>
      </c>
      <c r="AG12" s="154">
        <f t="shared" si="7"/>
        <v>17900</v>
      </c>
      <c r="AH12" s="154">
        <f t="shared" si="7"/>
        <v>18250</v>
      </c>
    </row>
    <row r="13" spans="1:34" ht="12.75">
      <c r="A13" s="92" t="s">
        <v>18</v>
      </c>
      <c r="B13" s="93" t="s">
        <v>22</v>
      </c>
      <c r="C13" s="99"/>
      <c r="D13" s="85">
        <f>MIN(IF(C13&lt;&gt;0,P13,1),OBPH1)</f>
        <v>1</v>
      </c>
      <c r="E13" s="95">
        <f>IF(C13=0,1,IF(C13="Y",IF(A13=N13,ROUNDUP(ROUND('Arrear_78.2'!L13*106%-0.01,0),-1),ROUNDUP(ROUND('Arrear_78.2'!L13*103%-0.01,0),-1)),C13))</f>
        <v>1</v>
      </c>
      <c r="F13" s="86">
        <v>0.01</v>
      </c>
      <c r="G13" s="87">
        <v>1</v>
      </c>
      <c r="H13" s="100"/>
      <c r="I13" s="95">
        <f>IF(C13=0,1,IF(C13="Y",IF(A13=N13,ROUNDUP(ROUND('Arrear_78.2'!U13*106%-0.01,0),-1),ROUNDUP(ROUND('Arrear_78.2'!U13*103%-0.01,0),-1)),ROUNDUP(ROUND(E13*1.05595-0.01,0),-1)))</f>
        <v>1</v>
      </c>
      <c r="J13" s="97"/>
      <c r="K13" s="98"/>
      <c r="L13" s="112"/>
      <c r="M13" s="149">
        <f t="shared" si="3"/>
        <v>0</v>
      </c>
      <c r="N13" s="152" t="str">
        <f t="shared" si="4"/>
        <v>Jul</v>
      </c>
      <c r="O13" s="155">
        <f>INCN</f>
        <v>350</v>
      </c>
      <c r="P13" s="156">
        <f>BP</f>
        <v>13000</v>
      </c>
      <c r="R13" s="154">
        <f>INDEX('Arrear_78.2'!$AH$9:'Arrear_78.2'!$AQ$19,MATCH('Manual Data'!$M13+OI,'Arrear_78.2'!$AQ$9:'Arrear_78.2'!$AQ$19,0),5)</f>
        <v>18250</v>
      </c>
      <c r="S13" s="154">
        <f>INDEX('Arrear_78.2'!$AH$9:'Arrear_78.2'!$AQ$19,MATCH('Manual Data'!$M13+OI,'Arrear_78.2'!$AQ$9:'Arrear_78.2'!$AQ$19,0),4)</f>
        <v>13000</v>
      </c>
      <c r="T13" s="154">
        <f aca="true" t="shared" si="8" ref="T13:AH13">IF(S13&lt;$R$8,S13+$O13,$R13)</f>
        <v>13350</v>
      </c>
      <c r="U13" s="154">
        <f t="shared" si="8"/>
        <v>13700</v>
      </c>
      <c r="V13" s="154">
        <f t="shared" si="8"/>
        <v>14050</v>
      </c>
      <c r="W13" s="154">
        <f t="shared" si="8"/>
        <v>14400</v>
      </c>
      <c r="X13" s="154">
        <f t="shared" si="8"/>
        <v>14750</v>
      </c>
      <c r="Y13" s="154">
        <f t="shared" si="8"/>
        <v>15100</v>
      </c>
      <c r="Z13" s="154">
        <f t="shared" si="8"/>
        <v>15450</v>
      </c>
      <c r="AA13" s="154">
        <f t="shared" si="8"/>
        <v>15800</v>
      </c>
      <c r="AB13" s="154">
        <f t="shared" si="8"/>
        <v>16150</v>
      </c>
      <c r="AC13" s="154">
        <f t="shared" si="8"/>
        <v>16500</v>
      </c>
      <c r="AD13" s="154">
        <f t="shared" si="8"/>
        <v>16850</v>
      </c>
      <c r="AE13" s="154">
        <f t="shared" si="8"/>
        <v>17200</v>
      </c>
      <c r="AF13" s="154">
        <f t="shared" si="8"/>
        <v>17550</v>
      </c>
      <c r="AG13" s="154">
        <f t="shared" si="8"/>
        <v>17900</v>
      </c>
      <c r="AH13" s="154">
        <f t="shared" si="8"/>
        <v>18250</v>
      </c>
    </row>
    <row r="14" spans="1:34" ht="12.75">
      <c r="A14" s="92" t="s">
        <v>19</v>
      </c>
      <c r="B14" s="93" t="s">
        <v>22</v>
      </c>
      <c r="C14" s="99"/>
      <c r="D14" s="85">
        <f>MIN(IF(C14&lt;&gt;0,P14,1),OBPH1)</f>
        <v>1</v>
      </c>
      <c r="E14" s="95">
        <f>IF(C14=0,1,IF(C14="Y",IF(A14=N14,ROUNDUP(ROUND('Arrear_78.2'!L14*106%-0.01,0),-1),ROUNDUP(ROUND('Arrear_78.2'!L14*103%-0.01,0),-1)),C14))</f>
        <v>1</v>
      </c>
      <c r="F14" s="86">
        <v>0.01</v>
      </c>
      <c r="G14" s="87">
        <v>1</v>
      </c>
      <c r="H14" s="100"/>
      <c r="I14" s="95">
        <f>IF(C14=0,1,IF(C14="Y",IF(A14=N14,ROUNDUP(ROUND('Arrear_78.2'!U14*106%-0.01,0),-1),ROUNDUP(ROUND('Arrear_78.2'!U14*103%-0.01,0),-1)),ROUNDUP(ROUND(E14*1.05595-0.01,0),-1)))</f>
        <v>1</v>
      </c>
      <c r="J14" s="97"/>
      <c r="K14" s="98"/>
      <c r="L14" s="151"/>
      <c r="M14" s="149">
        <f t="shared" si="3"/>
        <v>0</v>
      </c>
      <c r="N14" s="152" t="str">
        <f t="shared" si="4"/>
        <v>Jul</v>
      </c>
      <c r="O14" s="155">
        <f>INCN</f>
        <v>350</v>
      </c>
      <c r="P14" s="156">
        <f>BP</f>
        <v>13000</v>
      </c>
      <c r="R14" s="154">
        <f>INDEX('Arrear_78.2'!$AH$9:'Arrear_78.2'!$AQ$19,MATCH('Manual Data'!$M14+OI,'Arrear_78.2'!$AQ$9:'Arrear_78.2'!$AQ$19,0),5)</f>
        <v>18250</v>
      </c>
      <c r="S14" s="154">
        <f>INDEX('Arrear_78.2'!$AH$9:'Arrear_78.2'!$AQ$19,MATCH('Manual Data'!$M14+OI,'Arrear_78.2'!$AQ$9:'Arrear_78.2'!$AQ$19,0),4)</f>
        <v>13000</v>
      </c>
      <c r="T14" s="154">
        <f aca="true" t="shared" si="9" ref="T14:AH14">IF(S14&lt;$R$8,S14+$O14,$R14)</f>
        <v>13350</v>
      </c>
      <c r="U14" s="154">
        <f t="shared" si="9"/>
        <v>13700</v>
      </c>
      <c r="V14" s="154">
        <f t="shared" si="9"/>
        <v>14050</v>
      </c>
      <c r="W14" s="154">
        <f t="shared" si="9"/>
        <v>14400</v>
      </c>
      <c r="X14" s="154">
        <f t="shared" si="9"/>
        <v>14750</v>
      </c>
      <c r="Y14" s="154">
        <f t="shared" si="9"/>
        <v>15100</v>
      </c>
      <c r="Z14" s="154">
        <f t="shared" si="9"/>
        <v>15450</v>
      </c>
      <c r="AA14" s="154">
        <f t="shared" si="9"/>
        <v>15800</v>
      </c>
      <c r="AB14" s="154">
        <f t="shared" si="9"/>
        <v>16150</v>
      </c>
      <c r="AC14" s="154">
        <f t="shared" si="9"/>
        <v>16500</v>
      </c>
      <c r="AD14" s="154">
        <f t="shared" si="9"/>
        <v>16850</v>
      </c>
      <c r="AE14" s="154">
        <f t="shared" si="9"/>
        <v>17200</v>
      </c>
      <c r="AF14" s="154">
        <f t="shared" si="9"/>
        <v>17550</v>
      </c>
      <c r="AG14" s="154">
        <f t="shared" si="9"/>
        <v>17900</v>
      </c>
      <c r="AH14" s="154">
        <f t="shared" si="9"/>
        <v>18250</v>
      </c>
    </row>
    <row r="15" spans="1:34" ht="12.75">
      <c r="A15" s="92" t="s">
        <v>20</v>
      </c>
      <c r="B15" s="93" t="s">
        <v>22</v>
      </c>
      <c r="C15" s="122"/>
      <c r="D15" s="85">
        <f>MIN(IF(C15&lt;&gt;0,P15,1),OBPH1)</f>
        <v>1</v>
      </c>
      <c r="E15" s="95">
        <f>IF(C15=0,1,IF(C15="Y",IF(A15=N15,ROUNDUP(ROUND('Arrear_78.2'!L15*106%-0.01,0),-1),ROUNDUP(ROUND('Arrear_78.2'!L15*103%-0.01,0),-1)),C15))</f>
        <v>1</v>
      </c>
      <c r="F15" s="86">
        <v>0.01</v>
      </c>
      <c r="G15" s="87">
        <v>1</v>
      </c>
      <c r="H15" s="100"/>
      <c r="I15" s="95">
        <f>IF(C15=0,1,IF(C15="Y",IF(A15=N15,ROUNDUP(ROUND('Arrear_78.2'!U15*106%-0.01,0),-1),ROUNDUP(ROUND('Arrear_78.2'!U15*103%-0.01,0),-1)),ROUNDUP(ROUND(E15*1.05595-0.01,0),-1)))</f>
        <v>1</v>
      </c>
      <c r="J15" s="97"/>
      <c r="K15" s="98"/>
      <c r="L15" s="112"/>
      <c r="M15" s="149">
        <f t="shared" si="3"/>
        <v>0</v>
      </c>
      <c r="N15" s="152" t="str">
        <f t="shared" si="4"/>
        <v>Jul</v>
      </c>
      <c r="O15" s="155">
        <f>INCN</f>
        <v>350</v>
      </c>
      <c r="P15" s="156">
        <f>BP</f>
        <v>13000</v>
      </c>
      <c r="R15" s="154">
        <f>INDEX('Arrear_78.2'!$AH$9:'Arrear_78.2'!$AQ$19,MATCH('Manual Data'!$M15+OI,'Arrear_78.2'!$AQ$9:'Arrear_78.2'!$AQ$19,0),5)</f>
        <v>18250</v>
      </c>
      <c r="S15" s="154">
        <f>INDEX('Arrear_78.2'!$AH$9:'Arrear_78.2'!$AQ$19,MATCH('Manual Data'!$M15+OI,'Arrear_78.2'!$AQ$9:'Arrear_78.2'!$AQ$19,0),4)</f>
        <v>13000</v>
      </c>
      <c r="T15" s="154">
        <f aca="true" t="shared" si="10" ref="T15:AH15">IF(S15&lt;$R$8,S15+$O15,$R15)</f>
        <v>13350</v>
      </c>
      <c r="U15" s="154">
        <f t="shared" si="10"/>
        <v>13700</v>
      </c>
      <c r="V15" s="154">
        <f t="shared" si="10"/>
        <v>14050</v>
      </c>
      <c r="W15" s="154">
        <f t="shared" si="10"/>
        <v>14400</v>
      </c>
      <c r="X15" s="154">
        <f t="shared" si="10"/>
        <v>14750</v>
      </c>
      <c r="Y15" s="154">
        <f t="shared" si="10"/>
        <v>15100</v>
      </c>
      <c r="Z15" s="154">
        <f t="shared" si="10"/>
        <v>15450</v>
      </c>
      <c r="AA15" s="154">
        <f t="shared" si="10"/>
        <v>15800</v>
      </c>
      <c r="AB15" s="154">
        <f t="shared" si="10"/>
        <v>16150</v>
      </c>
      <c r="AC15" s="154">
        <f t="shared" si="10"/>
        <v>16500</v>
      </c>
      <c r="AD15" s="154">
        <f t="shared" si="10"/>
        <v>16850</v>
      </c>
      <c r="AE15" s="154">
        <f t="shared" si="10"/>
        <v>17200</v>
      </c>
      <c r="AF15" s="154">
        <f t="shared" si="10"/>
        <v>17550</v>
      </c>
      <c r="AG15" s="154">
        <f t="shared" si="10"/>
        <v>17900</v>
      </c>
      <c r="AH15" s="154">
        <f t="shared" si="10"/>
        <v>18250</v>
      </c>
    </row>
    <row r="16" spans="1:34" ht="12.75">
      <c r="A16" s="92" t="s">
        <v>21</v>
      </c>
      <c r="B16" s="93" t="s">
        <v>22</v>
      </c>
      <c r="C16" s="99"/>
      <c r="D16" s="85">
        <f>MIN(IF(C16&lt;&gt;0,P16,1),OBPH1)</f>
        <v>1</v>
      </c>
      <c r="E16" s="95">
        <f>IF(C16=0,1,IF(C16="Y",IF(A16=N16,ROUNDUP(ROUND('Arrear_78.2'!L16*106%-0.01,0),-1),ROUNDUP(ROUND('Arrear_78.2'!L16*103%-0.01,0),-1)),C16))</f>
        <v>1</v>
      </c>
      <c r="F16" s="86">
        <v>0.01</v>
      </c>
      <c r="G16" s="87">
        <v>1</v>
      </c>
      <c r="H16" s="100"/>
      <c r="I16" s="95">
        <f>IF(C16=0,1,IF(C16="Y",IF(A16=N16,ROUNDUP(ROUND('Arrear_78.2'!U16*106%-0.01,0),-1),ROUNDUP(ROUND('Arrear_78.2'!U16*103%-0.01,0),-1)),ROUNDUP(ROUND(E16*1.05595-0.01,0),-1)))</f>
        <v>1</v>
      </c>
      <c r="J16" s="97"/>
      <c r="K16" s="98"/>
      <c r="L16" s="112"/>
      <c r="M16" s="149">
        <f t="shared" si="3"/>
        <v>0</v>
      </c>
      <c r="N16" s="152" t="str">
        <f t="shared" si="4"/>
        <v>Jul</v>
      </c>
      <c r="O16" s="155">
        <f>INCN</f>
        <v>350</v>
      </c>
      <c r="P16" s="156">
        <f>BP</f>
        <v>13000</v>
      </c>
      <c r="R16" s="154">
        <f>INDEX('Arrear_78.2'!$AH$9:'Arrear_78.2'!$AQ$19,MATCH('Manual Data'!$M16+OI,'Arrear_78.2'!$AQ$9:'Arrear_78.2'!$AQ$19,0),5)</f>
        <v>18250</v>
      </c>
      <c r="S16" s="154">
        <f>INDEX('Arrear_78.2'!$AH$9:'Arrear_78.2'!$AQ$19,MATCH('Manual Data'!$M16+OI,'Arrear_78.2'!$AQ$9:'Arrear_78.2'!$AQ$19,0),4)</f>
        <v>13000</v>
      </c>
      <c r="T16" s="154">
        <f aca="true" t="shared" si="11" ref="T16:AH16">IF(S16&lt;$R$8,S16+$O16,$R16)</f>
        <v>13350</v>
      </c>
      <c r="U16" s="154">
        <f t="shared" si="11"/>
        <v>13700</v>
      </c>
      <c r="V16" s="154">
        <f t="shared" si="11"/>
        <v>14050</v>
      </c>
      <c r="W16" s="154">
        <f t="shared" si="11"/>
        <v>14400</v>
      </c>
      <c r="X16" s="154">
        <f t="shared" si="11"/>
        <v>14750</v>
      </c>
      <c r="Y16" s="154">
        <f t="shared" si="11"/>
        <v>15100</v>
      </c>
      <c r="Z16" s="154">
        <f t="shared" si="11"/>
        <v>15450</v>
      </c>
      <c r="AA16" s="154">
        <f t="shared" si="11"/>
        <v>15800</v>
      </c>
      <c r="AB16" s="154">
        <f t="shared" si="11"/>
        <v>16150</v>
      </c>
      <c r="AC16" s="154">
        <f t="shared" si="11"/>
        <v>16500</v>
      </c>
      <c r="AD16" s="154">
        <f t="shared" si="11"/>
        <v>16850</v>
      </c>
      <c r="AE16" s="154">
        <f t="shared" si="11"/>
        <v>17200</v>
      </c>
      <c r="AF16" s="154">
        <f t="shared" si="11"/>
        <v>17550</v>
      </c>
      <c r="AG16" s="154">
        <f t="shared" si="11"/>
        <v>17900</v>
      </c>
      <c r="AH16" s="154">
        <f t="shared" si="11"/>
        <v>18250</v>
      </c>
    </row>
    <row r="17" spans="1:34" ht="12.75">
      <c r="A17" s="92" t="s">
        <v>1</v>
      </c>
      <c r="B17" s="93" t="s">
        <v>22</v>
      </c>
      <c r="C17" s="99"/>
      <c r="D17" s="85">
        <f>MIN(IF(C17&lt;&gt;0,P17,1),OBPH1)</f>
        <v>1</v>
      </c>
      <c r="E17" s="95">
        <f>IF(C17=0,1,IF(C17="Y",IF(A17=N17,ROUNDUP(ROUND('Arrear_78.2'!L17*106%-0.01,0),-1),ROUNDUP(ROUND('Arrear_78.2'!L17*103%-0.01,0),-1)),C17))</f>
        <v>1</v>
      </c>
      <c r="F17" s="86">
        <v>0.01</v>
      </c>
      <c r="G17" s="87">
        <v>1</v>
      </c>
      <c r="H17" s="100"/>
      <c r="I17" s="95">
        <f>IF(C17=0,1,IF(C17="Y",IF(A17=N17,ROUNDUP(ROUND('Arrear_78.2'!U17*106%-0.01,0),-1),ROUNDUP(ROUND('Arrear_78.2'!U17*103%-0.01,0),-1)),ROUNDUP(ROUND(E17*1.05595-0.01,0),-1)))</f>
        <v>1</v>
      </c>
      <c r="J17" s="97"/>
      <c r="K17" s="98"/>
      <c r="L17" s="112"/>
      <c r="M17" s="149">
        <f t="shared" si="3"/>
        <v>0</v>
      </c>
      <c r="N17" s="152" t="str">
        <f t="shared" si="4"/>
        <v>Jul</v>
      </c>
      <c r="O17" s="155">
        <f>INCN</f>
        <v>350</v>
      </c>
      <c r="P17" s="156">
        <f>BP</f>
        <v>13000</v>
      </c>
      <c r="R17" s="154">
        <f>INDEX('Arrear_78.2'!$AH$9:'Arrear_78.2'!$AQ$19,MATCH('Manual Data'!$M17+OI,'Arrear_78.2'!$AQ$9:'Arrear_78.2'!$AQ$19,0),5)</f>
        <v>18250</v>
      </c>
      <c r="S17" s="154">
        <f>INDEX('Arrear_78.2'!$AH$9:'Arrear_78.2'!$AQ$19,MATCH('Manual Data'!$M17+OI,'Arrear_78.2'!$AQ$9:'Arrear_78.2'!$AQ$19,0),4)</f>
        <v>13000</v>
      </c>
      <c r="T17" s="154">
        <f aca="true" t="shared" si="12" ref="T17:AH17">IF(S17&lt;$R$8,S17+$O17,$R17)</f>
        <v>13350</v>
      </c>
      <c r="U17" s="154">
        <f t="shared" si="12"/>
        <v>13700</v>
      </c>
      <c r="V17" s="154">
        <f t="shared" si="12"/>
        <v>14050</v>
      </c>
      <c r="W17" s="154">
        <f t="shared" si="12"/>
        <v>14400</v>
      </c>
      <c r="X17" s="154">
        <f t="shared" si="12"/>
        <v>14750</v>
      </c>
      <c r="Y17" s="154">
        <f t="shared" si="12"/>
        <v>15100</v>
      </c>
      <c r="Z17" s="154">
        <f t="shared" si="12"/>
        <v>15450</v>
      </c>
      <c r="AA17" s="154">
        <f t="shared" si="12"/>
        <v>15800</v>
      </c>
      <c r="AB17" s="154">
        <f t="shared" si="12"/>
        <v>16150</v>
      </c>
      <c r="AC17" s="154">
        <f t="shared" si="12"/>
        <v>16500</v>
      </c>
      <c r="AD17" s="154">
        <f t="shared" si="12"/>
        <v>16850</v>
      </c>
      <c r="AE17" s="154">
        <f t="shared" si="12"/>
        <v>17200</v>
      </c>
      <c r="AF17" s="154">
        <f t="shared" si="12"/>
        <v>17550</v>
      </c>
      <c r="AG17" s="154">
        <f t="shared" si="12"/>
        <v>17900</v>
      </c>
      <c r="AH17" s="154">
        <f t="shared" si="12"/>
        <v>18250</v>
      </c>
    </row>
    <row r="18" spans="1:34" ht="12.75">
      <c r="A18" s="92" t="s">
        <v>11</v>
      </c>
      <c r="B18" s="93" t="s">
        <v>22</v>
      </c>
      <c r="C18" s="99"/>
      <c r="D18" s="85">
        <f>MIN(IF(C18&lt;&gt;0,P18,1),OBPH1)</f>
        <v>1</v>
      </c>
      <c r="E18" s="95">
        <f>IF(C18=0,1,IF(C18="Y",IF(A18=N18,ROUNDUP(ROUND('Arrear_78.2'!L18*106%-0.01,0),-1),ROUNDUP(ROUND('Arrear_78.2'!L18*103%-0.01,0),-1)),C18))</f>
        <v>1</v>
      </c>
      <c r="F18" s="86">
        <v>0.01</v>
      </c>
      <c r="G18" s="87">
        <v>1</v>
      </c>
      <c r="H18" s="100"/>
      <c r="I18" s="95">
        <f>IF(C18=0,1,IF(C18="Y",IF(A18=N18,ROUNDUP(ROUND('Arrear_78.2'!U18*106%-0.01,0),-1),ROUNDUP(ROUND('Arrear_78.2'!U18*103%-0.01,0),-1)),ROUNDUP(ROUND(E18*1.05595-0.01,0),-1)))</f>
        <v>1</v>
      </c>
      <c r="J18" s="97"/>
      <c r="K18" s="98"/>
      <c r="L18" s="112"/>
      <c r="M18" s="149">
        <f t="shared" si="3"/>
        <v>0</v>
      </c>
      <c r="N18" s="152" t="str">
        <f t="shared" si="4"/>
        <v>Jul</v>
      </c>
      <c r="O18" s="155">
        <f>INCN</f>
        <v>350</v>
      </c>
      <c r="P18" s="156">
        <f>BP</f>
        <v>13000</v>
      </c>
      <c r="R18" s="154">
        <f>INDEX('Arrear_78.2'!$AH$9:'Arrear_78.2'!$AQ$19,MATCH('Manual Data'!$M18+OI,'Arrear_78.2'!$AQ$9:'Arrear_78.2'!$AQ$19,0),5)</f>
        <v>18250</v>
      </c>
      <c r="S18" s="154">
        <f>INDEX('Arrear_78.2'!$AH$9:'Arrear_78.2'!$AQ$19,MATCH('Manual Data'!$M18+OI,'Arrear_78.2'!$AQ$9:'Arrear_78.2'!$AQ$19,0),4)</f>
        <v>13000</v>
      </c>
      <c r="T18" s="154">
        <f aca="true" t="shared" si="13" ref="T18:AH18">IF(S18&lt;$R$8,S18+$O18,$R18)</f>
        <v>13350</v>
      </c>
      <c r="U18" s="154">
        <f t="shared" si="13"/>
        <v>13700</v>
      </c>
      <c r="V18" s="154">
        <f t="shared" si="13"/>
        <v>14050</v>
      </c>
      <c r="W18" s="154">
        <f t="shared" si="13"/>
        <v>14400</v>
      </c>
      <c r="X18" s="154">
        <f t="shared" si="13"/>
        <v>14750</v>
      </c>
      <c r="Y18" s="154">
        <f t="shared" si="13"/>
        <v>15100</v>
      </c>
      <c r="Z18" s="154">
        <f t="shared" si="13"/>
        <v>15450</v>
      </c>
      <c r="AA18" s="154">
        <f t="shared" si="13"/>
        <v>15800</v>
      </c>
      <c r="AB18" s="154">
        <f t="shared" si="13"/>
        <v>16150</v>
      </c>
      <c r="AC18" s="154">
        <f t="shared" si="13"/>
        <v>16500</v>
      </c>
      <c r="AD18" s="154">
        <f t="shared" si="13"/>
        <v>16850</v>
      </c>
      <c r="AE18" s="154">
        <f t="shared" si="13"/>
        <v>17200</v>
      </c>
      <c r="AF18" s="154">
        <f t="shared" si="13"/>
        <v>17550</v>
      </c>
      <c r="AG18" s="154">
        <f t="shared" si="13"/>
        <v>17900</v>
      </c>
      <c r="AH18" s="154">
        <f t="shared" si="13"/>
        <v>18250</v>
      </c>
    </row>
    <row r="19" spans="1:34" ht="12.75">
      <c r="A19" s="92" t="s">
        <v>12</v>
      </c>
      <c r="B19" s="93" t="s">
        <v>22</v>
      </c>
      <c r="C19" s="122"/>
      <c r="D19" s="85">
        <f>MIN(IF(C19&lt;&gt;0,P19,1),OBPH1)</f>
        <v>1</v>
      </c>
      <c r="E19" s="95">
        <f>IF(C19=0,1,IF(C19="Y",IF(A19=N19,ROUNDUP(ROUND('Arrear_78.2'!L19*106%-0.01,0),-1),ROUNDUP(ROUND('Arrear_78.2'!L19*103%-0.01,0),-1)),C19))</f>
        <v>1</v>
      </c>
      <c r="F19" s="86">
        <v>0.01</v>
      </c>
      <c r="G19" s="87">
        <v>1</v>
      </c>
      <c r="H19" s="100"/>
      <c r="I19" s="95">
        <f>IF(C19=0,1,IF(C19="Y",IF(A19=N19,ROUNDUP(ROUND('Arrear_78.2'!U19*106%-0.01,0),-1),ROUNDUP(ROUND('Arrear_78.2'!U19*103%-0.01,0),-1)),ROUNDUP(ROUND(E19*1.05595-0.01,0),-1)))</f>
        <v>1</v>
      </c>
      <c r="J19" s="97"/>
      <c r="K19" s="98"/>
      <c r="L19" s="112"/>
      <c r="M19" s="149">
        <f t="shared" si="3"/>
        <v>0</v>
      </c>
      <c r="N19" s="152" t="str">
        <f t="shared" si="4"/>
        <v>Jul</v>
      </c>
      <c r="O19" s="155">
        <f>INCN</f>
        <v>350</v>
      </c>
      <c r="P19" s="156">
        <f>BP</f>
        <v>13000</v>
      </c>
      <c r="R19" s="154">
        <f>INDEX('Arrear_78.2'!$AH$9:'Arrear_78.2'!$AQ$19,MATCH('Manual Data'!$M19+OI,'Arrear_78.2'!$AQ$9:'Arrear_78.2'!$AQ$19,0),5)</f>
        <v>18250</v>
      </c>
      <c r="S19" s="154">
        <f>INDEX('Arrear_78.2'!$AH$9:'Arrear_78.2'!$AQ$19,MATCH('Manual Data'!$M19+OI,'Arrear_78.2'!$AQ$9:'Arrear_78.2'!$AQ$19,0),4)</f>
        <v>13000</v>
      </c>
      <c r="T19" s="154">
        <f aca="true" t="shared" si="14" ref="T19:AH19">IF(S19&lt;$R$8,S19+$O19,$R19)</f>
        <v>13350</v>
      </c>
      <c r="U19" s="154">
        <f t="shared" si="14"/>
        <v>13700</v>
      </c>
      <c r="V19" s="154">
        <f t="shared" si="14"/>
        <v>14050</v>
      </c>
      <c r="W19" s="154">
        <f t="shared" si="14"/>
        <v>14400</v>
      </c>
      <c r="X19" s="154">
        <f t="shared" si="14"/>
        <v>14750</v>
      </c>
      <c r="Y19" s="154">
        <f t="shared" si="14"/>
        <v>15100</v>
      </c>
      <c r="Z19" s="154">
        <f t="shared" si="14"/>
        <v>15450</v>
      </c>
      <c r="AA19" s="154">
        <f t="shared" si="14"/>
        <v>15800</v>
      </c>
      <c r="AB19" s="154">
        <f t="shared" si="14"/>
        <v>16150</v>
      </c>
      <c r="AC19" s="154">
        <f t="shared" si="14"/>
        <v>16500</v>
      </c>
      <c r="AD19" s="154">
        <f t="shared" si="14"/>
        <v>16850</v>
      </c>
      <c r="AE19" s="154">
        <f t="shared" si="14"/>
        <v>17200</v>
      </c>
      <c r="AF19" s="154">
        <f t="shared" si="14"/>
        <v>17550</v>
      </c>
      <c r="AG19" s="154">
        <f t="shared" si="14"/>
        <v>17900</v>
      </c>
      <c r="AH19" s="154">
        <f t="shared" si="14"/>
        <v>18250</v>
      </c>
    </row>
    <row r="20" spans="1:34" ht="12.75">
      <c r="A20" s="92" t="s">
        <v>13</v>
      </c>
      <c r="B20" s="93" t="s">
        <v>24</v>
      </c>
      <c r="C20" s="99"/>
      <c r="D20" s="85">
        <f>MIN(IF(C20&lt;&gt;0,P20,1),OBPH1)</f>
        <v>1</v>
      </c>
      <c r="E20" s="95">
        <f>IF(C20=0,1,IF(C20="Y",IF(A20=N20,ROUNDUP(ROUND('Arrear_78.2'!L20*106%-0.01,0),-1),ROUNDUP(ROUND('Arrear_78.2'!L20*103%-0.01,0),-1)),C20))</f>
        <v>1</v>
      </c>
      <c r="F20" s="86">
        <v>0.01</v>
      </c>
      <c r="G20" s="87">
        <v>1</v>
      </c>
      <c r="H20" s="100"/>
      <c r="I20" s="95">
        <f>IF(C20=0,1,IF(C20="Y",IF(A20=N20,ROUNDUP(ROUND('Arrear_78.2'!U20*106%-0.01,0),-1),ROUNDUP(ROUND('Arrear_78.2'!U20*103%-0.01,0),-1)),ROUNDUP(ROUND(E20*1.05595-0.01,0),-1)))</f>
        <v>1</v>
      </c>
      <c r="J20" s="97"/>
      <c r="K20" s="98"/>
      <c r="L20" s="112"/>
      <c r="M20" s="149">
        <f t="shared" si="3"/>
        <v>0</v>
      </c>
      <c r="N20" s="152" t="str">
        <f t="shared" si="4"/>
        <v>Jul</v>
      </c>
      <c r="O20" s="155">
        <f>INCN</f>
        <v>350</v>
      </c>
      <c r="P20" s="156">
        <f>BP</f>
        <v>13000</v>
      </c>
      <c r="R20" s="154">
        <f>INDEX('Arrear_78.2'!$AH$9:'Arrear_78.2'!$AQ$19,MATCH('Manual Data'!$M20+OI,'Arrear_78.2'!$AQ$9:'Arrear_78.2'!$AQ$19,0),5)</f>
        <v>18250</v>
      </c>
      <c r="S20" s="154">
        <f>INDEX('Arrear_78.2'!$AH$9:'Arrear_78.2'!$AQ$19,MATCH('Manual Data'!$M20+OI,'Arrear_78.2'!$AQ$9:'Arrear_78.2'!$AQ$19,0),4)</f>
        <v>13000</v>
      </c>
      <c r="T20" s="154">
        <f aca="true" t="shared" si="15" ref="T20:AH20">IF(S20&lt;$R$8,S20+$O20,$R20)</f>
        <v>13350</v>
      </c>
      <c r="U20" s="154">
        <f t="shared" si="15"/>
        <v>13700</v>
      </c>
      <c r="V20" s="154">
        <f t="shared" si="15"/>
        <v>14050</v>
      </c>
      <c r="W20" s="154">
        <f t="shared" si="15"/>
        <v>14400</v>
      </c>
      <c r="X20" s="154">
        <f t="shared" si="15"/>
        <v>14750</v>
      </c>
      <c r="Y20" s="154">
        <f t="shared" si="15"/>
        <v>15100</v>
      </c>
      <c r="Z20" s="154">
        <f t="shared" si="15"/>
        <v>15450</v>
      </c>
      <c r="AA20" s="154">
        <f t="shared" si="15"/>
        <v>15800</v>
      </c>
      <c r="AB20" s="154">
        <f t="shared" si="15"/>
        <v>16150</v>
      </c>
      <c r="AC20" s="154">
        <f t="shared" si="15"/>
        <v>16500</v>
      </c>
      <c r="AD20" s="154">
        <f t="shared" si="15"/>
        <v>16850</v>
      </c>
      <c r="AE20" s="154">
        <f t="shared" si="15"/>
        <v>17200</v>
      </c>
      <c r="AF20" s="154">
        <f t="shared" si="15"/>
        <v>17550</v>
      </c>
      <c r="AG20" s="154">
        <f t="shared" si="15"/>
        <v>17900</v>
      </c>
      <c r="AH20" s="154">
        <f t="shared" si="15"/>
        <v>18250</v>
      </c>
    </row>
    <row r="21" spans="1:34" ht="12.75">
      <c r="A21" s="92" t="s">
        <v>14</v>
      </c>
      <c r="B21" s="93" t="s">
        <v>24</v>
      </c>
      <c r="C21" s="122"/>
      <c r="D21" s="85">
        <f>MIN(IF(C21&lt;&gt;0,P21,1),OBPH1)</f>
        <v>1</v>
      </c>
      <c r="E21" s="95">
        <f>IF(C21=0,1,IF(C21="Y",IF(A21=N21,ROUNDUP(ROUND('Arrear_78.2'!L21*106%-0.01,0),-1),ROUNDUP(ROUND('Arrear_78.2'!L21*103%-0.01,0),-1)),C21))</f>
        <v>1</v>
      </c>
      <c r="F21" s="86">
        <v>0.01</v>
      </c>
      <c r="G21" s="87">
        <v>1</v>
      </c>
      <c r="H21" s="100"/>
      <c r="I21" s="95">
        <f>IF(C21=0,1,IF(C21="Y",IF(A21=N21,ROUNDUP(ROUND('Arrear_78.2'!U21*106%-0.01,0),-1),ROUNDUP(ROUND('Arrear_78.2'!U21*103%-0.01,0),-1)),ROUNDUP(ROUND(E21*1.05595-0.01,0),-1)))</f>
        <v>1</v>
      </c>
      <c r="J21" s="97"/>
      <c r="K21" s="98"/>
      <c r="L21" s="112"/>
      <c r="M21" s="149">
        <f t="shared" si="3"/>
        <v>0</v>
      </c>
      <c r="N21" s="152" t="str">
        <f t="shared" si="4"/>
        <v>Jul</v>
      </c>
      <c r="O21" s="155">
        <f>INCN</f>
        <v>350</v>
      </c>
      <c r="P21" s="156">
        <f>BP</f>
        <v>13000</v>
      </c>
      <c r="R21" s="154">
        <f>INDEX('Arrear_78.2'!$AH$9:'Arrear_78.2'!$AQ$19,MATCH('Manual Data'!$M21+OI,'Arrear_78.2'!$AQ$9:'Arrear_78.2'!$AQ$19,0),5)</f>
        <v>18250</v>
      </c>
      <c r="S21" s="154">
        <f>INDEX('Arrear_78.2'!$AH$9:'Arrear_78.2'!$AQ$19,MATCH('Manual Data'!$M21+OI,'Arrear_78.2'!$AQ$9:'Arrear_78.2'!$AQ$19,0),4)</f>
        <v>13000</v>
      </c>
      <c r="T21" s="154">
        <f aca="true" t="shared" si="16" ref="T21:AH21">IF(S21&lt;$R$8,S21+$O21,$R21)</f>
        <v>13350</v>
      </c>
      <c r="U21" s="154">
        <f t="shared" si="16"/>
        <v>13700</v>
      </c>
      <c r="V21" s="154">
        <f t="shared" si="16"/>
        <v>14050</v>
      </c>
      <c r="W21" s="154">
        <f t="shared" si="16"/>
        <v>14400</v>
      </c>
      <c r="X21" s="154">
        <f t="shared" si="16"/>
        <v>14750</v>
      </c>
      <c r="Y21" s="154">
        <f t="shared" si="16"/>
        <v>15100</v>
      </c>
      <c r="Z21" s="154">
        <f t="shared" si="16"/>
        <v>15450</v>
      </c>
      <c r="AA21" s="154">
        <f t="shared" si="16"/>
        <v>15800</v>
      </c>
      <c r="AB21" s="154">
        <f t="shared" si="16"/>
        <v>16150</v>
      </c>
      <c r="AC21" s="154">
        <f t="shared" si="16"/>
        <v>16500</v>
      </c>
      <c r="AD21" s="154">
        <f t="shared" si="16"/>
        <v>16850</v>
      </c>
      <c r="AE21" s="154">
        <f t="shared" si="16"/>
        <v>17200</v>
      </c>
      <c r="AF21" s="154">
        <f t="shared" si="16"/>
        <v>17550</v>
      </c>
      <c r="AG21" s="154">
        <f t="shared" si="16"/>
        <v>17900</v>
      </c>
      <c r="AH21" s="154">
        <f t="shared" si="16"/>
        <v>18250</v>
      </c>
    </row>
    <row r="22" spans="1:34" ht="12.75">
      <c r="A22" s="92" t="s">
        <v>15</v>
      </c>
      <c r="B22" s="93" t="s">
        <v>24</v>
      </c>
      <c r="C22" s="99"/>
      <c r="D22" s="85">
        <f>MIN(IF(C22&lt;&gt;0,P22,1),OBPH1)</f>
        <v>1</v>
      </c>
      <c r="E22" s="95">
        <f>IF(C22=0,1,IF(C22="Y",IF(A22=N22,ROUNDUP(ROUND('Arrear_78.2'!L22*106%-0.01,0),-1),ROUNDUP(ROUND('Arrear_78.2'!L22*103%-0.01,0),-1)),C22))</f>
        <v>1</v>
      </c>
      <c r="F22" s="86">
        <v>0.01</v>
      </c>
      <c r="G22" s="87">
        <v>1</v>
      </c>
      <c r="H22" s="100"/>
      <c r="I22" s="95">
        <f>IF(C22=0,1,IF(C22="Y",IF(A22=N22,ROUNDUP(ROUND('Arrear_78.2'!U22*106%-0.01,0),-1),ROUNDUP(ROUND('Arrear_78.2'!U22*103%-0.01,0),-1)),ROUNDUP(ROUND(E22*1.05595-0.01,0),-1)))</f>
        <v>1</v>
      </c>
      <c r="J22" s="97"/>
      <c r="K22" s="98"/>
      <c r="L22" s="112"/>
      <c r="M22" s="149">
        <f t="shared" si="3"/>
        <v>0</v>
      </c>
      <c r="N22" s="152" t="str">
        <f t="shared" si="4"/>
        <v>Jul</v>
      </c>
      <c r="O22" s="155">
        <f>INCN</f>
        <v>350</v>
      </c>
      <c r="P22" s="156">
        <f>BP</f>
        <v>13000</v>
      </c>
      <c r="R22" s="154">
        <f>INDEX('Arrear_78.2'!$AH$9:'Arrear_78.2'!$AQ$19,MATCH('Manual Data'!$M22+OI,'Arrear_78.2'!$AQ$9:'Arrear_78.2'!$AQ$19,0),5)</f>
        <v>18250</v>
      </c>
      <c r="S22" s="154">
        <f>INDEX('Arrear_78.2'!$AH$9:'Arrear_78.2'!$AQ$19,MATCH('Manual Data'!$M22+OI,'Arrear_78.2'!$AQ$9:'Arrear_78.2'!$AQ$19,0),4)</f>
        <v>13000</v>
      </c>
      <c r="T22" s="154">
        <f aca="true" t="shared" si="17" ref="T22:AH22">IF(S22&lt;$R$8,S22+$O22,$R22)</f>
        <v>13350</v>
      </c>
      <c r="U22" s="154">
        <f t="shared" si="17"/>
        <v>13700</v>
      </c>
      <c r="V22" s="154">
        <f t="shared" si="17"/>
        <v>14050</v>
      </c>
      <c r="W22" s="154">
        <f t="shared" si="17"/>
        <v>14400</v>
      </c>
      <c r="X22" s="154">
        <f t="shared" si="17"/>
        <v>14750</v>
      </c>
      <c r="Y22" s="154">
        <f t="shared" si="17"/>
        <v>15100</v>
      </c>
      <c r="Z22" s="154">
        <f t="shared" si="17"/>
        <v>15450</v>
      </c>
      <c r="AA22" s="154">
        <f t="shared" si="17"/>
        <v>15800</v>
      </c>
      <c r="AB22" s="154">
        <f t="shared" si="17"/>
        <v>16150</v>
      </c>
      <c r="AC22" s="154">
        <f t="shared" si="17"/>
        <v>16500</v>
      </c>
      <c r="AD22" s="154">
        <f t="shared" si="17"/>
        <v>16850</v>
      </c>
      <c r="AE22" s="154">
        <f t="shared" si="17"/>
        <v>17200</v>
      </c>
      <c r="AF22" s="154">
        <f t="shared" si="17"/>
        <v>17550</v>
      </c>
      <c r="AG22" s="154">
        <f t="shared" si="17"/>
        <v>17900</v>
      </c>
      <c r="AH22" s="154">
        <f t="shared" si="17"/>
        <v>18250</v>
      </c>
    </row>
    <row r="23" spans="1:34" ht="12.75">
      <c r="A23" s="92" t="s">
        <v>16</v>
      </c>
      <c r="B23" s="93" t="s">
        <v>24</v>
      </c>
      <c r="C23" s="99"/>
      <c r="D23" s="85">
        <f>MIN(IF(C23&lt;&gt;0,P23,1),OBPH1)</f>
        <v>1</v>
      </c>
      <c r="E23" s="95">
        <f>IF(C23=0,1,IF(C23="Y",IF(A23=N23,ROUNDUP(ROUND('Arrear_78.2'!L23*106%-0.01,0),-1),ROUNDUP(ROUND('Arrear_78.2'!L23*103%-0.01,0),-1)),C23))</f>
        <v>1</v>
      </c>
      <c r="F23" s="86">
        <v>0.01</v>
      </c>
      <c r="G23" s="87">
        <v>1</v>
      </c>
      <c r="H23" s="100"/>
      <c r="I23" s="95">
        <f>IF(C23=0,1,IF(C23="Y",IF(A23=N23,ROUNDUP(ROUND('Arrear_78.2'!U23*106%-0.01,0),-1),ROUNDUP(ROUND('Arrear_78.2'!U23*103%-0.01,0),-1)),ROUNDUP(ROUND(E23*1.05595-0.01,0),-1)))</f>
        <v>1</v>
      </c>
      <c r="J23" s="97"/>
      <c r="K23" s="98"/>
      <c r="L23" s="112"/>
      <c r="M23" s="149">
        <f t="shared" si="3"/>
        <v>0</v>
      </c>
      <c r="N23" s="152" t="str">
        <f t="shared" si="4"/>
        <v>Jul</v>
      </c>
      <c r="O23" s="155">
        <f>INCN</f>
        <v>350</v>
      </c>
      <c r="P23" s="156">
        <f>BP</f>
        <v>13000</v>
      </c>
      <c r="R23" s="154">
        <f>INDEX('Arrear_78.2'!$AH$9:'Arrear_78.2'!$AQ$19,MATCH('Manual Data'!$M23+OI,'Arrear_78.2'!$AQ$9:'Arrear_78.2'!$AQ$19,0),5)</f>
        <v>18250</v>
      </c>
      <c r="S23" s="154">
        <f>INDEX('Arrear_78.2'!$AH$9:'Arrear_78.2'!$AQ$19,MATCH('Manual Data'!$M23+OI,'Arrear_78.2'!$AQ$9:'Arrear_78.2'!$AQ$19,0),4)</f>
        <v>13000</v>
      </c>
      <c r="T23" s="154">
        <f aca="true" t="shared" si="18" ref="T23:AH23">IF(S23&lt;$R$8,S23+$O23,$R23)</f>
        <v>13350</v>
      </c>
      <c r="U23" s="154">
        <f t="shared" si="18"/>
        <v>13700</v>
      </c>
      <c r="V23" s="154">
        <f t="shared" si="18"/>
        <v>14050</v>
      </c>
      <c r="W23" s="154">
        <f t="shared" si="18"/>
        <v>14400</v>
      </c>
      <c r="X23" s="154">
        <f t="shared" si="18"/>
        <v>14750</v>
      </c>
      <c r="Y23" s="154">
        <f t="shared" si="18"/>
        <v>15100</v>
      </c>
      <c r="Z23" s="154">
        <f t="shared" si="18"/>
        <v>15450</v>
      </c>
      <c r="AA23" s="154">
        <f t="shared" si="18"/>
        <v>15800</v>
      </c>
      <c r="AB23" s="154">
        <f t="shared" si="18"/>
        <v>16150</v>
      </c>
      <c r="AC23" s="154">
        <f t="shared" si="18"/>
        <v>16500</v>
      </c>
      <c r="AD23" s="154">
        <f t="shared" si="18"/>
        <v>16850</v>
      </c>
      <c r="AE23" s="154">
        <f t="shared" si="18"/>
        <v>17200</v>
      </c>
      <c r="AF23" s="154">
        <f t="shared" si="18"/>
        <v>17550</v>
      </c>
      <c r="AG23" s="154">
        <f t="shared" si="18"/>
        <v>17900</v>
      </c>
      <c r="AH23" s="154">
        <f t="shared" si="18"/>
        <v>18250</v>
      </c>
    </row>
    <row r="24" spans="1:34" ht="12.75">
      <c r="A24" s="92" t="s">
        <v>17</v>
      </c>
      <c r="B24" s="93" t="s">
        <v>24</v>
      </c>
      <c r="C24" s="99"/>
      <c r="D24" s="85">
        <f>MIN(IF(C24&lt;&gt;0,P24,1),OBPH1)</f>
        <v>1</v>
      </c>
      <c r="E24" s="95">
        <f>IF(C24=0,1,IF(C24="Y",IF(A24=N24,ROUNDUP(ROUND('Arrear_78.2'!L24*106%-0.01,0),-1),ROUNDUP(ROUND('Arrear_78.2'!L24*103%-0.01,0),-1)),C24))</f>
        <v>1</v>
      </c>
      <c r="F24" s="86">
        <v>0.01</v>
      </c>
      <c r="G24" s="87">
        <v>1</v>
      </c>
      <c r="H24" s="100"/>
      <c r="I24" s="95">
        <f>IF(C24=0,1,IF(C24="Y",IF(A24=N24,ROUNDUP(ROUND('Arrear_78.2'!U24*106%-0.01,0),-1),ROUNDUP(ROUND('Arrear_78.2'!U24*103%-0.01,0),-1)),ROUNDUP(ROUND(E24*1.05595-0.01,0),-1)))</f>
        <v>1</v>
      </c>
      <c r="J24" s="97"/>
      <c r="K24" s="98"/>
      <c r="L24" s="112"/>
      <c r="M24" s="149">
        <f t="shared" si="3"/>
        <v>0</v>
      </c>
      <c r="N24" s="152" t="str">
        <f t="shared" si="4"/>
        <v>Jul</v>
      </c>
      <c r="O24" s="155">
        <f>INCN</f>
        <v>350</v>
      </c>
      <c r="P24" s="156">
        <f>BP</f>
        <v>13000</v>
      </c>
      <c r="R24" s="154">
        <f>INDEX('Arrear_78.2'!$AH$9:'Arrear_78.2'!$AQ$19,MATCH('Manual Data'!$M24+OI,'Arrear_78.2'!$AQ$9:'Arrear_78.2'!$AQ$19,0),5)</f>
        <v>18250</v>
      </c>
      <c r="S24" s="154">
        <f>INDEX('Arrear_78.2'!$AH$9:'Arrear_78.2'!$AQ$19,MATCH('Manual Data'!$M24+OI,'Arrear_78.2'!$AQ$9:'Arrear_78.2'!$AQ$19,0),4)</f>
        <v>13000</v>
      </c>
      <c r="T24" s="154">
        <f aca="true" t="shared" si="19" ref="T24:AH24">IF(S24&lt;$R$8,S24+$O24,$R24)</f>
        <v>13350</v>
      </c>
      <c r="U24" s="154">
        <f t="shared" si="19"/>
        <v>13700</v>
      </c>
      <c r="V24" s="154">
        <f t="shared" si="19"/>
        <v>14050</v>
      </c>
      <c r="W24" s="154">
        <f t="shared" si="19"/>
        <v>14400</v>
      </c>
      <c r="X24" s="154">
        <f t="shared" si="19"/>
        <v>14750</v>
      </c>
      <c r="Y24" s="154">
        <f t="shared" si="19"/>
        <v>15100</v>
      </c>
      <c r="Z24" s="154">
        <f t="shared" si="19"/>
        <v>15450</v>
      </c>
      <c r="AA24" s="154">
        <f t="shared" si="19"/>
        <v>15800</v>
      </c>
      <c r="AB24" s="154">
        <f t="shared" si="19"/>
        <v>16150</v>
      </c>
      <c r="AC24" s="154">
        <f t="shared" si="19"/>
        <v>16500</v>
      </c>
      <c r="AD24" s="154">
        <f t="shared" si="19"/>
        <v>16850</v>
      </c>
      <c r="AE24" s="154">
        <f t="shared" si="19"/>
        <v>17200</v>
      </c>
      <c r="AF24" s="154">
        <f t="shared" si="19"/>
        <v>17550</v>
      </c>
      <c r="AG24" s="154">
        <f t="shared" si="19"/>
        <v>17900</v>
      </c>
      <c r="AH24" s="154">
        <f t="shared" si="19"/>
        <v>18250</v>
      </c>
    </row>
    <row r="25" spans="1:34" ht="12.75">
      <c r="A25" s="92" t="s">
        <v>18</v>
      </c>
      <c r="B25" s="93" t="s">
        <v>24</v>
      </c>
      <c r="C25" s="99"/>
      <c r="D25" s="85">
        <f>MIN(IF(C25&lt;&gt;0,P25,1),OBPH1)</f>
        <v>1</v>
      </c>
      <c r="E25" s="95">
        <f>IF(C25=0,1,IF(C25="Y",IF(A25=N25,ROUNDUP(ROUND('Arrear_78.2'!L25*106%-0.01,0),-1),ROUNDUP(ROUND('Arrear_78.2'!L25*103%-0.01,0),-1)),C25))</f>
        <v>1</v>
      </c>
      <c r="F25" s="86">
        <v>0.01</v>
      </c>
      <c r="G25" s="87">
        <v>1</v>
      </c>
      <c r="H25" s="100"/>
      <c r="I25" s="95">
        <f>IF(C25=0,1,IF(C25="Y",IF(A25=N25,ROUNDUP(ROUND('Arrear_78.2'!U25*106%-0.01,0),-1),ROUNDUP(ROUND('Arrear_78.2'!U25*103%-0.01,0),-1)),ROUNDUP(ROUND(E25*1.05595-0.01,0),-1)))</f>
        <v>1</v>
      </c>
      <c r="J25" s="97"/>
      <c r="K25" s="98"/>
      <c r="L25" s="112"/>
      <c r="M25" s="149">
        <f t="shared" si="3"/>
        <v>0</v>
      </c>
      <c r="N25" s="152" t="str">
        <f t="shared" si="4"/>
        <v>Jul</v>
      </c>
      <c r="O25" s="155">
        <f>INCN</f>
        <v>350</v>
      </c>
      <c r="P25" s="156">
        <f>BP</f>
        <v>13000</v>
      </c>
      <c r="R25" s="154">
        <f>INDEX('Arrear_78.2'!$AH$9:'Arrear_78.2'!$AQ$19,MATCH('Manual Data'!$M25+OI,'Arrear_78.2'!$AQ$9:'Arrear_78.2'!$AQ$19,0),5)</f>
        <v>18250</v>
      </c>
      <c r="S25" s="154">
        <f>INDEX('Arrear_78.2'!$AH$9:'Arrear_78.2'!$AQ$19,MATCH('Manual Data'!$M25+OI,'Arrear_78.2'!$AQ$9:'Arrear_78.2'!$AQ$19,0),4)</f>
        <v>13000</v>
      </c>
      <c r="T25" s="154">
        <f aca="true" t="shared" si="20" ref="T25:AH25">IF(S25&lt;$R$8,S25+$O25,$R25)</f>
        <v>13350</v>
      </c>
      <c r="U25" s="154">
        <f t="shared" si="20"/>
        <v>13700</v>
      </c>
      <c r="V25" s="154">
        <f t="shared" si="20"/>
        <v>14050</v>
      </c>
      <c r="W25" s="154">
        <f t="shared" si="20"/>
        <v>14400</v>
      </c>
      <c r="X25" s="154">
        <f t="shared" si="20"/>
        <v>14750</v>
      </c>
      <c r="Y25" s="154">
        <f t="shared" si="20"/>
        <v>15100</v>
      </c>
      <c r="Z25" s="154">
        <f t="shared" si="20"/>
        <v>15450</v>
      </c>
      <c r="AA25" s="154">
        <f t="shared" si="20"/>
        <v>15800</v>
      </c>
      <c r="AB25" s="154">
        <f t="shared" si="20"/>
        <v>16150</v>
      </c>
      <c r="AC25" s="154">
        <f t="shared" si="20"/>
        <v>16500</v>
      </c>
      <c r="AD25" s="154">
        <f t="shared" si="20"/>
        <v>16850</v>
      </c>
      <c r="AE25" s="154">
        <f t="shared" si="20"/>
        <v>17200</v>
      </c>
      <c r="AF25" s="154">
        <f t="shared" si="20"/>
        <v>17550</v>
      </c>
      <c r="AG25" s="154">
        <f t="shared" si="20"/>
        <v>17900</v>
      </c>
      <c r="AH25" s="154">
        <f t="shared" si="20"/>
        <v>18250</v>
      </c>
    </row>
    <row r="26" spans="1:34" ht="12.75">
      <c r="A26" s="92" t="s">
        <v>19</v>
      </c>
      <c r="B26" s="93" t="s">
        <v>24</v>
      </c>
      <c r="C26" s="99"/>
      <c r="D26" s="85">
        <f>MIN(IF(C26&lt;&gt;0,P26,1),OBPH1)</f>
        <v>1</v>
      </c>
      <c r="E26" s="95">
        <f>IF(C26=0,1,IF(C26="Y",IF(A26=N26,ROUNDUP(ROUND('Arrear_78.2'!L26*106%-0.01,0),-1),ROUNDUP(ROUND('Arrear_78.2'!L26*103%-0.01,0),-1)),C26))</f>
        <v>1</v>
      </c>
      <c r="F26" s="86">
        <v>0.01</v>
      </c>
      <c r="G26" s="87">
        <v>1</v>
      </c>
      <c r="H26" s="100"/>
      <c r="I26" s="95">
        <f>IF(C26=0,1,IF(C26="Y",IF(A26=N26,ROUNDUP(ROUND('Arrear_78.2'!U26*106%-0.01,0),-1),ROUNDUP(ROUND('Arrear_78.2'!U26*103%-0.01,0),-1)),ROUNDUP(ROUND(E26*1.05595-0.01,0),-1)))</f>
        <v>1</v>
      </c>
      <c r="J26" s="97"/>
      <c r="K26" s="98"/>
      <c r="L26" s="112"/>
      <c r="M26" s="149">
        <f t="shared" si="3"/>
        <v>0</v>
      </c>
      <c r="N26" s="152" t="str">
        <f t="shared" si="4"/>
        <v>Jul</v>
      </c>
      <c r="O26" s="155">
        <f>INCN</f>
        <v>350</v>
      </c>
      <c r="P26" s="156">
        <f>BP</f>
        <v>13000</v>
      </c>
      <c r="R26" s="154">
        <f>INDEX('Arrear_78.2'!$AH$9:'Arrear_78.2'!$AQ$19,MATCH('Manual Data'!$M26+OI,'Arrear_78.2'!$AQ$9:'Arrear_78.2'!$AQ$19,0),5)</f>
        <v>18250</v>
      </c>
      <c r="S26" s="154">
        <f>INDEX('Arrear_78.2'!$AH$9:'Arrear_78.2'!$AQ$19,MATCH('Manual Data'!$M26+OI,'Arrear_78.2'!$AQ$9:'Arrear_78.2'!$AQ$19,0),4)</f>
        <v>13000</v>
      </c>
      <c r="T26" s="154">
        <f aca="true" t="shared" si="21" ref="T26:AH26">IF(S26&lt;$R$8,S26+$O26,$R26)</f>
        <v>13350</v>
      </c>
      <c r="U26" s="154">
        <f t="shared" si="21"/>
        <v>13700</v>
      </c>
      <c r="V26" s="154">
        <f t="shared" si="21"/>
        <v>14050</v>
      </c>
      <c r="W26" s="154">
        <f t="shared" si="21"/>
        <v>14400</v>
      </c>
      <c r="X26" s="154">
        <f t="shared" si="21"/>
        <v>14750</v>
      </c>
      <c r="Y26" s="154">
        <f t="shared" si="21"/>
        <v>15100</v>
      </c>
      <c r="Z26" s="154">
        <f t="shared" si="21"/>
        <v>15450</v>
      </c>
      <c r="AA26" s="154">
        <f t="shared" si="21"/>
        <v>15800</v>
      </c>
      <c r="AB26" s="154">
        <f t="shared" si="21"/>
        <v>16150</v>
      </c>
      <c r="AC26" s="154">
        <f t="shared" si="21"/>
        <v>16500</v>
      </c>
      <c r="AD26" s="154">
        <f t="shared" si="21"/>
        <v>16850</v>
      </c>
      <c r="AE26" s="154">
        <f t="shared" si="21"/>
        <v>17200</v>
      </c>
      <c r="AF26" s="154">
        <f t="shared" si="21"/>
        <v>17550</v>
      </c>
      <c r="AG26" s="154">
        <f t="shared" si="21"/>
        <v>17900</v>
      </c>
      <c r="AH26" s="154">
        <f t="shared" si="21"/>
        <v>18250</v>
      </c>
    </row>
    <row r="27" spans="1:34" ht="12.75">
      <c r="A27" s="92" t="s">
        <v>20</v>
      </c>
      <c r="B27" s="93" t="s">
        <v>24</v>
      </c>
      <c r="C27" s="99"/>
      <c r="D27" s="85">
        <f>MIN(IF(C27&lt;&gt;0,P27,1),OBPH1)</f>
        <v>1</v>
      </c>
      <c r="E27" s="95">
        <f>IF(C27=0,1,IF(C27="Y",IF(A27=N27,ROUNDUP(ROUND('Arrear_78.2'!L27*106%-0.01,0),-1),ROUNDUP(ROUND('Arrear_78.2'!L27*103%-0.01,0),-1)),C27))</f>
        <v>1</v>
      </c>
      <c r="F27" s="86">
        <v>0.01</v>
      </c>
      <c r="G27" s="87">
        <v>1</v>
      </c>
      <c r="H27" s="100"/>
      <c r="I27" s="95">
        <f>IF(C27=0,1,IF(C27="Y",IF(A27=N27,ROUNDUP(ROUND('Arrear_78.2'!U27*106%-0.01,0),-1),ROUNDUP(ROUND('Arrear_78.2'!U27*103%-0.01,0),-1)),ROUNDUP(ROUND(E27*1.05595-0.01,0),-1)))</f>
        <v>1</v>
      </c>
      <c r="J27" s="97"/>
      <c r="K27" s="98"/>
      <c r="L27" s="112"/>
      <c r="M27" s="149">
        <f t="shared" si="3"/>
        <v>0</v>
      </c>
      <c r="N27" s="152" t="str">
        <f t="shared" si="4"/>
        <v>Jul</v>
      </c>
      <c r="O27" s="155">
        <f>INCN</f>
        <v>350</v>
      </c>
      <c r="P27" s="156">
        <f>BP</f>
        <v>13000</v>
      </c>
      <c r="R27" s="154">
        <f>INDEX('Arrear_78.2'!$AH$9:'Arrear_78.2'!$AQ$19,MATCH('Manual Data'!$M27+OI,'Arrear_78.2'!$AQ$9:'Arrear_78.2'!$AQ$19,0),5)</f>
        <v>18250</v>
      </c>
      <c r="S27" s="154">
        <f>INDEX('Arrear_78.2'!$AH$9:'Arrear_78.2'!$AQ$19,MATCH('Manual Data'!$M27+OI,'Arrear_78.2'!$AQ$9:'Arrear_78.2'!$AQ$19,0),4)</f>
        <v>13000</v>
      </c>
      <c r="T27" s="154">
        <f aca="true" t="shared" si="22" ref="T27:AH27">IF(S27&lt;$R$8,S27+$O27,$R27)</f>
        <v>13350</v>
      </c>
      <c r="U27" s="154">
        <f t="shared" si="22"/>
        <v>13700</v>
      </c>
      <c r="V27" s="154">
        <f t="shared" si="22"/>
        <v>14050</v>
      </c>
      <c r="W27" s="154">
        <f t="shared" si="22"/>
        <v>14400</v>
      </c>
      <c r="X27" s="154">
        <f t="shared" si="22"/>
        <v>14750</v>
      </c>
      <c r="Y27" s="154">
        <f t="shared" si="22"/>
        <v>15100</v>
      </c>
      <c r="Z27" s="154">
        <f t="shared" si="22"/>
        <v>15450</v>
      </c>
      <c r="AA27" s="154">
        <f t="shared" si="22"/>
        <v>15800</v>
      </c>
      <c r="AB27" s="154">
        <f t="shared" si="22"/>
        <v>16150</v>
      </c>
      <c r="AC27" s="154">
        <f t="shared" si="22"/>
        <v>16500</v>
      </c>
      <c r="AD27" s="154">
        <f t="shared" si="22"/>
        <v>16850</v>
      </c>
      <c r="AE27" s="154">
        <f t="shared" si="22"/>
        <v>17200</v>
      </c>
      <c r="AF27" s="154">
        <f t="shared" si="22"/>
        <v>17550</v>
      </c>
      <c r="AG27" s="154">
        <f t="shared" si="22"/>
        <v>17900</v>
      </c>
      <c r="AH27" s="154">
        <f t="shared" si="22"/>
        <v>18250</v>
      </c>
    </row>
    <row r="28" spans="1:34" ht="12.75">
      <c r="A28" s="92" t="s">
        <v>21</v>
      </c>
      <c r="B28" s="93" t="s">
        <v>24</v>
      </c>
      <c r="C28" s="99"/>
      <c r="D28" s="85">
        <f>MIN(IF(C28&lt;&gt;0,P28,1),OBPH1)</f>
        <v>1</v>
      </c>
      <c r="E28" s="95">
        <f>IF(C28=0,1,IF(C28="Y",IF(A28=N28,ROUNDUP(ROUND('Arrear_78.2'!L28*106%-0.01,0),-1),ROUNDUP(ROUND('Arrear_78.2'!L28*103%-0.01,0),-1)),C28))</f>
        <v>1</v>
      </c>
      <c r="F28" s="86">
        <v>0.01</v>
      </c>
      <c r="G28" s="87">
        <v>1</v>
      </c>
      <c r="H28" s="100"/>
      <c r="I28" s="95">
        <f>IF(C28=0,1,IF(C28="Y",IF(A28=N28,ROUNDUP(ROUND('Arrear_78.2'!U28*106%-0.01,0),-1),ROUNDUP(ROUND('Arrear_78.2'!U28*103%-0.01,0),-1)),ROUNDUP(ROUND(E28*1.05595-0.01,0),-1)))</f>
        <v>1</v>
      </c>
      <c r="J28" s="97"/>
      <c r="K28" s="98"/>
      <c r="L28" s="112"/>
      <c r="M28" s="149">
        <f t="shared" si="3"/>
        <v>0</v>
      </c>
      <c r="N28" s="152" t="str">
        <f t="shared" si="4"/>
        <v>Jul</v>
      </c>
      <c r="O28" s="155">
        <f>INCN</f>
        <v>350</v>
      </c>
      <c r="P28" s="156">
        <f>BP</f>
        <v>13000</v>
      </c>
      <c r="R28" s="154">
        <f>INDEX('Arrear_78.2'!$AH$9:'Arrear_78.2'!$AQ$19,MATCH('Manual Data'!$M28+OI,'Arrear_78.2'!$AQ$9:'Arrear_78.2'!$AQ$19,0),5)</f>
        <v>18250</v>
      </c>
      <c r="S28" s="154">
        <f>INDEX('Arrear_78.2'!$AH$9:'Arrear_78.2'!$AQ$19,MATCH('Manual Data'!$M28+OI,'Arrear_78.2'!$AQ$9:'Arrear_78.2'!$AQ$19,0),4)</f>
        <v>13000</v>
      </c>
      <c r="T28" s="154">
        <f aca="true" t="shared" si="23" ref="T28:AH28">IF(S28&lt;$R$8,S28+$O28,$R28)</f>
        <v>13350</v>
      </c>
      <c r="U28" s="154">
        <f t="shared" si="23"/>
        <v>13700</v>
      </c>
      <c r="V28" s="154">
        <f t="shared" si="23"/>
        <v>14050</v>
      </c>
      <c r="W28" s="154">
        <f t="shared" si="23"/>
        <v>14400</v>
      </c>
      <c r="X28" s="154">
        <f t="shared" si="23"/>
        <v>14750</v>
      </c>
      <c r="Y28" s="154">
        <f t="shared" si="23"/>
        <v>15100</v>
      </c>
      <c r="Z28" s="154">
        <f t="shared" si="23"/>
        <v>15450</v>
      </c>
      <c r="AA28" s="154">
        <f t="shared" si="23"/>
        <v>15800</v>
      </c>
      <c r="AB28" s="154">
        <f t="shared" si="23"/>
        <v>16150</v>
      </c>
      <c r="AC28" s="154">
        <f t="shared" si="23"/>
        <v>16500</v>
      </c>
      <c r="AD28" s="154">
        <f t="shared" si="23"/>
        <v>16850</v>
      </c>
      <c r="AE28" s="154">
        <f t="shared" si="23"/>
        <v>17200</v>
      </c>
      <c r="AF28" s="154">
        <f t="shared" si="23"/>
        <v>17550</v>
      </c>
      <c r="AG28" s="154">
        <f t="shared" si="23"/>
        <v>17900</v>
      </c>
      <c r="AH28" s="154">
        <f t="shared" si="23"/>
        <v>18250</v>
      </c>
    </row>
    <row r="29" spans="1:34" ht="12.75">
      <c r="A29" s="92" t="s">
        <v>1</v>
      </c>
      <c r="B29" s="93" t="s">
        <v>24</v>
      </c>
      <c r="C29" s="99"/>
      <c r="D29" s="85">
        <f>MIN(IF(C29&lt;&gt;0,P29,1),OBPH1)</f>
        <v>1</v>
      </c>
      <c r="E29" s="95">
        <f>IF(C29=0,1,IF(C29="Y",IF(A29=N29,ROUNDUP(ROUND('Arrear_78.2'!L29*106%-0.01,0),-1),ROUNDUP(ROUND('Arrear_78.2'!L29*103%-0.01,0),-1)),C29))</f>
        <v>1</v>
      </c>
      <c r="F29" s="86">
        <v>0.01</v>
      </c>
      <c r="G29" s="87">
        <v>1</v>
      </c>
      <c r="H29" s="100"/>
      <c r="I29" s="95">
        <f>IF(C29=0,1,IF(C29="Y",IF(A29=N29,ROUNDUP(ROUND('Arrear_78.2'!U29*106%-0.01,0),-1),ROUNDUP(ROUND('Arrear_78.2'!U29*103%-0.01,0),-1)),ROUNDUP(ROUND(E29*1.05595-0.01,0),-1)))</f>
        <v>1</v>
      </c>
      <c r="J29" s="97"/>
      <c r="K29" s="98"/>
      <c r="L29" s="112"/>
      <c r="M29" s="149">
        <f t="shared" si="3"/>
        <v>0</v>
      </c>
      <c r="N29" s="152" t="str">
        <f t="shared" si="4"/>
        <v>Jul</v>
      </c>
      <c r="O29" s="155">
        <f>INCN</f>
        <v>350</v>
      </c>
      <c r="P29" s="156">
        <f>BP</f>
        <v>13000</v>
      </c>
      <c r="R29" s="154">
        <f>INDEX('Arrear_78.2'!$AH$9:'Arrear_78.2'!$AQ$19,MATCH('Manual Data'!$M29+OI,'Arrear_78.2'!$AQ$9:'Arrear_78.2'!$AQ$19,0),5)</f>
        <v>18250</v>
      </c>
      <c r="S29" s="154">
        <f>INDEX('Arrear_78.2'!$AH$9:'Arrear_78.2'!$AQ$19,MATCH('Manual Data'!$M29+OI,'Arrear_78.2'!$AQ$9:'Arrear_78.2'!$AQ$19,0),4)</f>
        <v>13000</v>
      </c>
      <c r="T29" s="154">
        <f aca="true" t="shared" si="24" ref="T29:AH29">IF(S29&lt;$R$8,S29+$O29,$R29)</f>
        <v>13350</v>
      </c>
      <c r="U29" s="154">
        <f t="shared" si="24"/>
        <v>13700</v>
      </c>
      <c r="V29" s="154">
        <f t="shared" si="24"/>
        <v>14050</v>
      </c>
      <c r="W29" s="154">
        <f t="shared" si="24"/>
        <v>14400</v>
      </c>
      <c r="X29" s="154">
        <f t="shared" si="24"/>
        <v>14750</v>
      </c>
      <c r="Y29" s="154">
        <f t="shared" si="24"/>
        <v>15100</v>
      </c>
      <c r="Z29" s="154">
        <f t="shared" si="24"/>
        <v>15450</v>
      </c>
      <c r="AA29" s="154">
        <f t="shared" si="24"/>
        <v>15800</v>
      </c>
      <c r="AB29" s="154">
        <f t="shared" si="24"/>
        <v>16150</v>
      </c>
      <c r="AC29" s="154">
        <f t="shared" si="24"/>
        <v>16500</v>
      </c>
      <c r="AD29" s="154">
        <f t="shared" si="24"/>
        <v>16850</v>
      </c>
      <c r="AE29" s="154">
        <f t="shared" si="24"/>
        <v>17200</v>
      </c>
      <c r="AF29" s="154">
        <f t="shared" si="24"/>
        <v>17550</v>
      </c>
      <c r="AG29" s="154">
        <f t="shared" si="24"/>
        <v>17900</v>
      </c>
      <c r="AH29" s="154">
        <f t="shared" si="24"/>
        <v>18250</v>
      </c>
    </row>
    <row r="30" spans="1:34" ht="12.75">
      <c r="A30" s="92" t="s">
        <v>11</v>
      </c>
      <c r="B30" s="93" t="s">
        <v>24</v>
      </c>
      <c r="C30" s="99"/>
      <c r="D30" s="85">
        <f>MIN(IF(C30&lt;&gt;0,P30,1),OBPH1)</f>
        <v>1</v>
      </c>
      <c r="E30" s="95">
        <f>IF(C30=0,1,IF(C30="Y",IF(A30=N30,ROUNDUP(ROUND('Arrear_78.2'!L30*106%-0.01,0),-1),ROUNDUP(ROUND('Arrear_78.2'!L30*103%-0.01,0),-1)),C30))</f>
        <v>1</v>
      </c>
      <c r="F30" s="86">
        <v>0.01</v>
      </c>
      <c r="G30" s="87">
        <v>1</v>
      </c>
      <c r="H30" s="100"/>
      <c r="I30" s="95">
        <f>IF(C30=0,1,IF(C30="Y",IF(A30=N30,ROUNDUP(ROUND('Arrear_78.2'!U30*106%-0.01,0),-1),ROUNDUP(ROUND('Arrear_78.2'!U30*103%-0.01,0),-1)),ROUNDUP(ROUND(E30*1.05595-0.01,0),-1)))</f>
        <v>1</v>
      </c>
      <c r="J30" s="124"/>
      <c r="K30" s="125"/>
      <c r="L30" s="112"/>
      <c r="M30" s="149">
        <f t="shared" si="3"/>
        <v>0</v>
      </c>
      <c r="N30" s="152" t="str">
        <f t="shared" si="4"/>
        <v>Jul</v>
      </c>
      <c r="O30" s="155">
        <f>INCN</f>
        <v>350</v>
      </c>
      <c r="P30" s="156">
        <f>BP</f>
        <v>13000</v>
      </c>
      <c r="R30" s="154">
        <f>INDEX('Arrear_78.2'!$AH$9:'Arrear_78.2'!$AQ$19,MATCH('Manual Data'!$M30+OI,'Arrear_78.2'!$AQ$9:'Arrear_78.2'!$AQ$19,0),5)</f>
        <v>18250</v>
      </c>
      <c r="S30" s="154">
        <f>INDEX('Arrear_78.2'!$AH$9:'Arrear_78.2'!$AQ$19,MATCH('Manual Data'!$M30+OI,'Arrear_78.2'!$AQ$9:'Arrear_78.2'!$AQ$19,0),4)</f>
        <v>13000</v>
      </c>
      <c r="T30" s="154">
        <f aca="true" t="shared" si="25" ref="T30:AH30">IF(S30&lt;$R$8,S30+$O30,$R30)</f>
        <v>13350</v>
      </c>
      <c r="U30" s="154">
        <f t="shared" si="25"/>
        <v>13700</v>
      </c>
      <c r="V30" s="154">
        <f t="shared" si="25"/>
        <v>14050</v>
      </c>
      <c r="W30" s="154">
        <f t="shared" si="25"/>
        <v>14400</v>
      </c>
      <c r="X30" s="154">
        <f t="shared" si="25"/>
        <v>14750</v>
      </c>
      <c r="Y30" s="154">
        <f t="shared" si="25"/>
        <v>15100</v>
      </c>
      <c r="Z30" s="154">
        <f t="shared" si="25"/>
        <v>15450</v>
      </c>
      <c r="AA30" s="154">
        <f t="shared" si="25"/>
        <v>15800</v>
      </c>
      <c r="AB30" s="154">
        <f t="shared" si="25"/>
        <v>16150</v>
      </c>
      <c r="AC30" s="154">
        <f t="shared" si="25"/>
        <v>16500</v>
      </c>
      <c r="AD30" s="154">
        <f t="shared" si="25"/>
        <v>16850</v>
      </c>
      <c r="AE30" s="154">
        <f t="shared" si="25"/>
        <v>17200</v>
      </c>
      <c r="AF30" s="154">
        <f t="shared" si="25"/>
        <v>17550</v>
      </c>
      <c r="AG30" s="154">
        <f t="shared" si="25"/>
        <v>17900</v>
      </c>
      <c r="AH30" s="154">
        <f t="shared" si="25"/>
        <v>18250</v>
      </c>
    </row>
    <row r="31" spans="1:34" ht="12.75">
      <c r="A31" s="92" t="s">
        <v>12</v>
      </c>
      <c r="B31" s="93" t="s">
        <v>24</v>
      </c>
      <c r="C31" s="99"/>
      <c r="D31" s="85">
        <f>MIN(IF(C31&lt;&gt;0,P31,1),OBPH1)</f>
        <v>1</v>
      </c>
      <c r="E31" s="95">
        <f>IF(C31=0,1,IF(C31="Y",IF(A31=N31,ROUNDUP(ROUND('Arrear_78.2'!L31*106%-0.01,0),-1),ROUNDUP(ROUND('Arrear_78.2'!L31*103%-0.01,0),-1)),C31))</f>
        <v>1</v>
      </c>
      <c r="F31" s="86">
        <v>0.01</v>
      </c>
      <c r="G31" s="87">
        <v>1</v>
      </c>
      <c r="H31" s="100"/>
      <c r="I31" s="95">
        <f>IF(C31=0,1,IF(C31="Y",IF(A31=N31,ROUNDUP(ROUND('Arrear_78.2'!U31*106%-0.01,0),-1),ROUNDUP(ROUND('Arrear_78.2'!U31*103%-0.01,0),-1)),ROUNDUP(ROUND(E31*1.05595-0.01,0),-1)))</f>
        <v>1</v>
      </c>
      <c r="J31" s="108">
        <f>F31</f>
        <v>0.01</v>
      </c>
      <c r="K31" s="112">
        <f>G31</f>
        <v>1</v>
      </c>
      <c r="L31" s="112"/>
      <c r="M31" s="149">
        <f t="shared" si="3"/>
        <v>0</v>
      </c>
      <c r="N31" s="152" t="str">
        <f t="shared" si="4"/>
        <v>Jul</v>
      </c>
      <c r="O31" s="155">
        <f>INCN</f>
        <v>350</v>
      </c>
      <c r="P31" s="156">
        <f>BP</f>
        <v>13000</v>
      </c>
      <c r="R31" s="154">
        <f>INDEX('Arrear_78.2'!$AH$9:'Arrear_78.2'!$AQ$19,MATCH('Manual Data'!$M31+OI,'Arrear_78.2'!$AQ$9:'Arrear_78.2'!$AQ$19,0),5)</f>
        <v>18250</v>
      </c>
      <c r="S31" s="154">
        <f>INDEX('Arrear_78.2'!$AH$9:'Arrear_78.2'!$AQ$19,MATCH('Manual Data'!$M31+OI,'Arrear_78.2'!$AQ$9:'Arrear_78.2'!$AQ$19,0),4)</f>
        <v>13000</v>
      </c>
      <c r="T31" s="154">
        <f aca="true" t="shared" si="26" ref="T31:AH31">IF(S31&lt;$R$8,S31+$O31,$R31)</f>
        <v>13350</v>
      </c>
      <c r="U31" s="154">
        <f t="shared" si="26"/>
        <v>13700</v>
      </c>
      <c r="V31" s="154">
        <f t="shared" si="26"/>
        <v>14050</v>
      </c>
      <c r="W31" s="154">
        <f t="shared" si="26"/>
        <v>14400</v>
      </c>
      <c r="X31" s="154">
        <f t="shared" si="26"/>
        <v>14750</v>
      </c>
      <c r="Y31" s="154">
        <f t="shared" si="26"/>
        <v>15100</v>
      </c>
      <c r="Z31" s="154">
        <f t="shared" si="26"/>
        <v>15450</v>
      </c>
      <c r="AA31" s="154">
        <f t="shared" si="26"/>
        <v>15800</v>
      </c>
      <c r="AB31" s="154">
        <f t="shared" si="26"/>
        <v>16150</v>
      </c>
      <c r="AC31" s="154">
        <f t="shared" si="26"/>
        <v>16500</v>
      </c>
      <c r="AD31" s="154">
        <f t="shared" si="26"/>
        <v>16850</v>
      </c>
      <c r="AE31" s="154">
        <f t="shared" si="26"/>
        <v>17200</v>
      </c>
      <c r="AF31" s="154">
        <f t="shared" si="26"/>
        <v>17550</v>
      </c>
      <c r="AG31" s="154">
        <f t="shared" si="26"/>
        <v>17900</v>
      </c>
      <c r="AH31" s="154">
        <f t="shared" si="26"/>
        <v>18250</v>
      </c>
    </row>
    <row r="32" spans="1:34" ht="12.75">
      <c r="A32" s="92" t="s">
        <v>13</v>
      </c>
      <c r="B32" s="93" t="s">
        <v>25</v>
      </c>
      <c r="C32" s="99"/>
      <c r="D32" s="85">
        <f>MIN(IF(C32&lt;&gt;0,P32,1),OBPH1)</f>
        <v>1</v>
      </c>
      <c r="E32" s="95">
        <f>IF(C32=0,1,IF(C32="Y",IF(A32=N32,ROUNDUP(ROUND('Arrear_78.2'!L32*106%-0.01,0),-1),ROUNDUP(ROUND('Arrear_78.2'!L32*103%-0.01,0),-1)),C32))</f>
        <v>1</v>
      </c>
      <c r="F32" s="86">
        <v>0.01</v>
      </c>
      <c r="G32" s="87">
        <v>1</v>
      </c>
      <c r="H32" s="100"/>
      <c r="I32" s="95">
        <f>IF(C32=0,1,IF(C32="Y",IF(A32=N32,ROUNDUP(ROUND('Arrear_78.2'!U32*106%-0.01,0),-1),ROUNDUP(ROUND('Arrear_78.2'!U32*103%-0.01,0),-1)),ROUNDUP(ROUND(E32*1.05595-0.01,0),-1)))</f>
        <v>1</v>
      </c>
      <c r="J32" s="108">
        <f aca="true" t="shared" si="27" ref="J32:J85">F32</f>
        <v>0.01</v>
      </c>
      <c r="K32" s="112">
        <f aca="true" t="shared" si="28" ref="K32:K85">G32</f>
        <v>1</v>
      </c>
      <c r="L32" s="112"/>
      <c r="M32" s="149">
        <f t="shared" si="3"/>
        <v>0</v>
      </c>
      <c r="N32" s="152" t="str">
        <f t="shared" si="4"/>
        <v>Jul</v>
      </c>
      <c r="O32" s="155">
        <f>INCN</f>
        <v>350</v>
      </c>
      <c r="P32" s="156">
        <f>BP</f>
        <v>13000</v>
      </c>
      <c r="R32" s="154">
        <f>INDEX('Arrear_78.2'!$AH$9:'Arrear_78.2'!$AQ$19,MATCH('Manual Data'!$M32+OI,'Arrear_78.2'!$AQ$9:'Arrear_78.2'!$AQ$19,0),5)</f>
        <v>18250</v>
      </c>
      <c r="S32" s="154">
        <f>INDEX('Arrear_78.2'!$AH$9:'Arrear_78.2'!$AQ$19,MATCH('Manual Data'!$M32+OI,'Arrear_78.2'!$AQ$9:'Arrear_78.2'!$AQ$19,0),4)</f>
        <v>13000</v>
      </c>
      <c r="T32" s="154">
        <f aca="true" t="shared" si="29" ref="T32:AH32">IF(S32&lt;$R$8,S32+$O32,$R32)</f>
        <v>13350</v>
      </c>
      <c r="U32" s="154">
        <f t="shared" si="29"/>
        <v>13700</v>
      </c>
      <c r="V32" s="154">
        <f t="shared" si="29"/>
        <v>14050</v>
      </c>
      <c r="W32" s="154">
        <f t="shared" si="29"/>
        <v>14400</v>
      </c>
      <c r="X32" s="154">
        <f t="shared" si="29"/>
        <v>14750</v>
      </c>
      <c r="Y32" s="154">
        <f t="shared" si="29"/>
        <v>15100</v>
      </c>
      <c r="Z32" s="154">
        <f t="shared" si="29"/>
        <v>15450</v>
      </c>
      <c r="AA32" s="154">
        <f t="shared" si="29"/>
        <v>15800</v>
      </c>
      <c r="AB32" s="154">
        <f t="shared" si="29"/>
        <v>16150</v>
      </c>
      <c r="AC32" s="154">
        <f t="shared" si="29"/>
        <v>16500</v>
      </c>
      <c r="AD32" s="154">
        <f t="shared" si="29"/>
        <v>16850</v>
      </c>
      <c r="AE32" s="154">
        <f t="shared" si="29"/>
        <v>17200</v>
      </c>
      <c r="AF32" s="154">
        <f t="shared" si="29"/>
        <v>17550</v>
      </c>
      <c r="AG32" s="154">
        <f t="shared" si="29"/>
        <v>17900</v>
      </c>
      <c r="AH32" s="154">
        <f t="shared" si="29"/>
        <v>18250</v>
      </c>
    </row>
    <row r="33" spans="1:34" ht="12.75">
      <c r="A33" s="92" t="s">
        <v>14</v>
      </c>
      <c r="B33" s="93" t="s">
        <v>25</v>
      </c>
      <c r="C33" s="99"/>
      <c r="D33" s="85">
        <f>MIN(IF(C33&lt;&gt;0,P33,1),OBPH1)</f>
        <v>1</v>
      </c>
      <c r="E33" s="95">
        <f>IF(C33=0,1,IF(C33="Y",IF(A33=N33,ROUNDUP(ROUND('Arrear_78.2'!L33*106%-0.01,0),-1),ROUNDUP(ROUND('Arrear_78.2'!L33*103%-0.01,0),-1)),C33))</f>
        <v>1</v>
      </c>
      <c r="F33" s="86">
        <v>0.01</v>
      </c>
      <c r="G33" s="87">
        <v>1</v>
      </c>
      <c r="H33" s="100"/>
      <c r="I33" s="95">
        <f>IF(C33=0,1,IF(C33="Y",IF(A33=N33,ROUNDUP(ROUND('Arrear_78.2'!U33*106%-0.01,0),-1),ROUNDUP(ROUND('Arrear_78.2'!U33*103%-0.01,0),-1)),ROUNDUP(ROUND(E33*1.05595-0.01,0),-1)))</f>
        <v>1</v>
      </c>
      <c r="J33" s="108">
        <f t="shared" si="27"/>
        <v>0.01</v>
      </c>
      <c r="K33" s="112">
        <f t="shared" si="28"/>
        <v>1</v>
      </c>
      <c r="L33" s="112"/>
      <c r="M33" s="149">
        <f t="shared" si="3"/>
        <v>0</v>
      </c>
      <c r="N33" s="152" t="str">
        <f t="shared" si="4"/>
        <v>Jul</v>
      </c>
      <c r="O33" s="155">
        <f>INCN</f>
        <v>350</v>
      </c>
      <c r="P33" s="156">
        <f>BP</f>
        <v>13000</v>
      </c>
      <c r="R33" s="154">
        <f>INDEX('Arrear_78.2'!$AH$9:'Arrear_78.2'!$AQ$19,MATCH('Manual Data'!$M33+OI,'Arrear_78.2'!$AQ$9:'Arrear_78.2'!$AQ$19,0),5)</f>
        <v>18250</v>
      </c>
      <c r="S33" s="154">
        <f>INDEX('Arrear_78.2'!$AH$9:'Arrear_78.2'!$AQ$19,MATCH('Manual Data'!$M33+OI,'Arrear_78.2'!$AQ$9:'Arrear_78.2'!$AQ$19,0),4)</f>
        <v>13000</v>
      </c>
      <c r="T33" s="154">
        <f aca="true" t="shared" si="30" ref="T33:AH33">IF(S33&lt;$R$8,S33+$O33,$R33)</f>
        <v>13350</v>
      </c>
      <c r="U33" s="154">
        <f t="shared" si="30"/>
        <v>13700</v>
      </c>
      <c r="V33" s="154">
        <f t="shared" si="30"/>
        <v>14050</v>
      </c>
      <c r="W33" s="154">
        <f t="shared" si="30"/>
        <v>14400</v>
      </c>
      <c r="X33" s="154">
        <f t="shared" si="30"/>
        <v>14750</v>
      </c>
      <c r="Y33" s="154">
        <f t="shared" si="30"/>
        <v>15100</v>
      </c>
      <c r="Z33" s="154">
        <f t="shared" si="30"/>
        <v>15450</v>
      </c>
      <c r="AA33" s="154">
        <f t="shared" si="30"/>
        <v>15800</v>
      </c>
      <c r="AB33" s="154">
        <f t="shared" si="30"/>
        <v>16150</v>
      </c>
      <c r="AC33" s="154">
        <f t="shared" si="30"/>
        <v>16500</v>
      </c>
      <c r="AD33" s="154">
        <f t="shared" si="30"/>
        <v>16850</v>
      </c>
      <c r="AE33" s="154">
        <f t="shared" si="30"/>
        <v>17200</v>
      </c>
      <c r="AF33" s="154">
        <f t="shared" si="30"/>
        <v>17550</v>
      </c>
      <c r="AG33" s="154">
        <f t="shared" si="30"/>
        <v>17900</v>
      </c>
      <c r="AH33" s="154">
        <f t="shared" si="30"/>
        <v>18250</v>
      </c>
    </row>
    <row r="34" spans="1:34" ht="12.75">
      <c r="A34" s="101" t="s">
        <v>15</v>
      </c>
      <c r="B34" s="102" t="s">
        <v>25</v>
      </c>
      <c r="C34" s="126"/>
      <c r="D34" s="103">
        <f>MIN(IF(C34&lt;&gt;0,P34,1),OBPH1)</f>
        <v>1</v>
      </c>
      <c r="E34" s="103">
        <f>IF(C34=0,1,IF(C34="Y",IF(A34=N34,ROUNDUP(ROUND('Arrear_78.2'!L34*106%-0.01,0),-1),ROUNDUP(ROUND('Arrear_78.2'!L34*103%-0.01,0),-1)),C34))</f>
        <v>1</v>
      </c>
      <c r="F34" s="104">
        <v>0.01</v>
      </c>
      <c r="G34" s="105">
        <v>1</v>
      </c>
      <c r="H34" s="106"/>
      <c r="I34" s="103">
        <f>IF(C34=0,1,IF(C34="Y",IF(A34=N34,ROUNDUP(ROUND('Arrear_78.2'!U34*106%-0.01,0),-1),ROUNDUP(ROUND('Arrear_78.2'!U34*103%-0.01,0),-1)),ROUNDUP(ROUND(E34*1.05595-0.01,0),-1)))</f>
        <v>1</v>
      </c>
      <c r="J34" s="108">
        <f t="shared" si="27"/>
        <v>0.01</v>
      </c>
      <c r="K34" s="112">
        <f t="shared" si="28"/>
        <v>1</v>
      </c>
      <c r="L34" s="147"/>
      <c r="M34" s="150">
        <f t="shared" si="3"/>
        <v>0</v>
      </c>
      <c r="N34" s="152" t="str">
        <f t="shared" si="4"/>
        <v>Jul</v>
      </c>
      <c r="O34" s="155">
        <f>INCN</f>
        <v>350</v>
      </c>
      <c r="P34" s="156">
        <f>BP</f>
        <v>13000</v>
      </c>
      <c r="R34" s="154">
        <f>INDEX('Arrear_78.2'!$AH$9:'Arrear_78.2'!$AQ$19,MATCH('Manual Data'!$M34+OI,'Arrear_78.2'!$AQ$9:'Arrear_78.2'!$AQ$19,0),5)</f>
        <v>18250</v>
      </c>
      <c r="S34" s="154">
        <f>INDEX('Arrear_78.2'!$AH$9:'Arrear_78.2'!$AQ$19,MATCH('Manual Data'!$M34+OI,'Arrear_78.2'!$AQ$9:'Arrear_78.2'!$AQ$19,0),4)</f>
        <v>13000</v>
      </c>
      <c r="T34" s="154">
        <f aca="true" t="shared" si="31" ref="T34:AH34">IF(S34&lt;$R$8,S34+$O34,$R34)</f>
        <v>13350</v>
      </c>
      <c r="U34" s="154">
        <f t="shared" si="31"/>
        <v>13700</v>
      </c>
      <c r="V34" s="154">
        <f t="shared" si="31"/>
        <v>14050</v>
      </c>
      <c r="W34" s="154">
        <f t="shared" si="31"/>
        <v>14400</v>
      </c>
      <c r="X34" s="154">
        <f t="shared" si="31"/>
        <v>14750</v>
      </c>
      <c r="Y34" s="154">
        <f t="shared" si="31"/>
        <v>15100</v>
      </c>
      <c r="Z34" s="154">
        <f t="shared" si="31"/>
        <v>15450</v>
      </c>
      <c r="AA34" s="154">
        <f t="shared" si="31"/>
        <v>15800</v>
      </c>
      <c r="AB34" s="154">
        <f t="shared" si="31"/>
        <v>16150</v>
      </c>
      <c r="AC34" s="154">
        <f t="shared" si="31"/>
        <v>16500</v>
      </c>
      <c r="AD34" s="154">
        <f t="shared" si="31"/>
        <v>16850</v>
      </c>
      <c r="AE34" s="154">
        <f t="shared" si="31"/>
        <v>17200</v>
      </c>
      <c r="AF34" s="154">
        <f t="shared" si="31"/>
        <v>17550</v>
      </c>
      <c r="AG34" s="154">
        <f t="shared" si="31"/>
        <v>17900</v>
      </c>
      <c r="AH34" s="154">
        <f t="shared" si="31"/>
        <v>18250</v>
      </c>
    </row>
    <row r="35" spans="1:15" ht="12.75">
      <c r="A35" s="121" t="s">
        <v>16</v>
      </c>
      <c r="B35" s="107" t="s">
        <v>25</v>
      </c>
      <c r="C35" s="111"/>
      <c r="D35" s="85">
        <f>MIN(IF(C35&lt;&gt;0,IF('Arrear_78.2'!A36='Arrear_78.2'!$E$4,'Arrear_78.2'!C35+INC1*2,'Arrear_78.2'!C35),1),OBPH1)</f>
        <v>1</v>
      </c>
      <c r="E35" s="85">
        <f>IF(C35=0,1,IF(C35="Y",IF(A35=N35,ROUNDUP(ROUND('Arrear_78.2'!C48*106%-0.01,0),-1),ROUNDUP(ROUND('Arrear_78.2'!C48*103%-0.01,0),-1)),C35))</f>
        <v>1</v>
      </c>
      <c r="F35" s="135">
        <v>0.01</v>
      </c>
      <c r="G35" s="109">
        <v>1</v>
      </c>
      <c r="H35" s="110"/>
      <c r="I35" s="85">
        <f>IF(C35=0,1,IF(C35="Y",IF(A35=N35,ROUNDUP(ROUND('Arrear_78.2'!L48*106%-0.01,0),-1),ROUNDUP(ROUND('Arrear_78.2'!L48*103%-0.01,0),-1)),ROUNDUP(ROUND(E35*1.05595-0.01,0),-1)))</f>
        <v>1</v>
      </c>
      <c r="J35" s="108">
        <f t="shared" si="27"/>
        <v>0.01</v>
      </c>
      <c r="K35" s="112">
        <f t="shared" si="28"/>
        <v>1</v>
      </c>
      <c r="L35" s="112"/>
      <c r="M35" s="148">
        <f t="shared" si="3"/>
        <v>0</v>
      </c>
      <c r="N35" s="152" t="str">
        <f t="shared" si="4"/>
        <v>Jul</v>
      </c>
      <c r="O35" s="155"/>
    </row>
    <row r="36" spans="1:15" ht="12.75">
      <c r="A36" s="92" t="s">
        <v>17</v>
      </c>
      <c r="B36" s="93" t="s">
        <v>25</v>
      </c>
      <c r="C36" s="99"/>
      <c r="D36" s="85">
        <f>MIN(IF(C36&lt;&gt;0,IF('Arrear_78.2'!A37='Arrear_78.2'!$E$4,'Arrear_78.2'!C36+INC1*2,'Arrear_78.2'!C36),1),OBPH1)</f>
        <v>1</v>
      </c>
      <c r="E36" s="85">
        <f>IF(C36=0,1,IF(C36="Y",IF(A36=N36,ROUNDUP(ROUND('Arrear_78.2'!C49*106%-0.01,0),-1),ROUNDUP(ROUND('Arrear_78.2'!C49*103%-0.01,0),-1)),C36))</f>
        <v>1</v>
      </c>
      <c r="F36" s="108">
        <v>0.01</v>
      </c>
      <c r="G36" s="87">
        <v>1</v>
      </c>
      <c r="H36" s="113"/>
      <c r="I36" s="85">
        <f>IF(C36=0,1,IF(C36="Y",IF(A36=N36,ROUNDUP(ROUND('Arrear_78.2'!L49*106%-0.01,0),-1),ROUNDUP(ROUND('Arrear_78.2'!L49*103%-0.01,0),-1)),ROUNDUP(ROUND(E36*1.05595-0.01,0),-1)))</f>
        <v>1</v>
      </c>
      <c r="J36" s="108">
        <f t="shared" si="27"/>
        <v>0.01</v>
      </c>
      <c r="K36" s="112">
        <f t="shared" si="28"/>
        <v>1</v>
      </c>
      <c r="L36" s="112"/>
      <c r="M36" s="149">
        <f t="shared" si="3"/>
        <v>0</v>
      </c>
      <c r="N36" s="152" t="str">
        <f t="shared" si="4"/>
        <v>Jul</v>
      </c>
      <c r="O36" s="155"/>
    </row>
    <row r="37" spans="1:15" ht="12.75">
      <c r="A37" s="92" t="s">
        <v>18</v>
      </c>
      <c r="B37" s="93" t="s">
        <v>25</v>
      </c>
      <c r="C37" s="99"/>
      <c r="D37" s="85">
        <f>MIN(IF(C37&lt;&gt;0,IF('Arrear_78.2'!A38='Arrear_78.2'!$E$4,'Arrear_78.2'!C37+INC1*2,'Arrear_78.2'!C37),1),OBPH1)</f>
        <v>1</v>
      </c>
      <c r="E37" s="85">
        <f>IF(C37=0,1,IF(C37="Y",IF(A37=N37,ROUNDUP(ROUND('Arrear_78.2'!C50*106%-0.01,0),-1),ROUNDUP(ROUND('Arrear_78.2'!C50*103%-0.01,0),-1)),C37))</f>
        <v>1</v>
      </c>
      <c r="F37" s="86">
        <v>0.01</v>
      </c>
      <c r="G37" s="87">
        <v>1</v>
      </c>
      <c r="H37" s="113"/>
      <c r="I37" s="85">
        <f>IF(C37=0,1,IF(C37="Y",IF(A37=N37,ROUNDUP(ROUND('Arrear_78.2'!L50*106%-0.01,0),-1),ROUNDUP(ROUND('Arrear_78.2'!L50*103%-0.01,0),-1)),ROUNDUP(ROUND(E37*1.05595-0.01,0),-1)))</f>
        <v>1</v>
      </c>
      <c r="J37" s="108">
        <f t="shared" si="27"/>
        <v>0.01</v>
      </c>
      <c r="K37" s="112">
        <f t="shared" si="28"/>
        <v>1</v>
      </c>
      <c r="L37" s="112"/>
      <c r="M37" s="149">
        <f t="shared" si="3"/>
        <v>0</v>
      </c>
      <c r="N37" s="152" t="str">
        <f t="shared" si="4"/>
        <v>Jul</v>
      </c>
      <c r="O37" s="155"/>
    </row>
    <row r="38" spans="1:15" ht="12.75">
      <c r="A38" s="92" t="s">
        <v>19</v>
      </c>
      <c r="B38" s="93" t="s">
        <v>25</v>
      </c>
      <c r="C38" s="99"/>
      <c r="D38" s="85">
        <f>MIN(IF(C38&lt;&gt;0,IF('Arrear_78.2'!A39='Arrear_78.2'!$E$4,'Arrear_78.2'!C38+INC1*2,'Arrear_78.2'!C38),1),OBPH1)</f>
        <v>1</v>
      </c>
      <c r="E38" s="85">
        <f>IF(C38=0,1,IF(C38="Y",IF(A38=N38,ROUNDUP(ROUND('Arrear_78.2'!C51*106%-0.01,0),-1),ROUNDUP(ROUND('Arrear_78.2'!C51*103%-0.01,0),-1)),C38))</f>
        <v>1</v>
      </c>
      <c r="F38" s="86">
        <v>0.01</v>
      </c>
      <c r="G38" s="87">
        <v>1</v>
      </c>
      <c r="H38" s="113"/>
      <c r="I38" s="85">
        <f>IF(C38=0,1,IF(C38="Y",IF(A38=N38,ROUNDUP(ROUND('Arrear_78.2'!L51*106%-0.01,0),-1),ROUNDUP(ROUND('Arrear_78.2'!L51*103%-0.01,0),-1)),ROUNDUP(ROUND(E38*1.05595-0.01,0),-1)))</f>
        <v>1</v>
      </c>
      <c r="J38" s="108">
        <f t="shared" si="27"/>
        <v>0.01</v>
      </c>
      <c r="K38" s="112">
        <f t="shared" si="28"/>
        <v>1</v>
      </c>
      <c r="L38" s="112"/>
      <c r="M38" s="149">
        <f t="shared" si="3"/>
        <v>0</v>
      </c>
      <c r="N38" s="152" t="str">
        <f t="shared" si="4"/>
        <v>Jul</v>
      </c>
      <c r="O38" s="155"/>
    </row>
    <row r="39" spans="1:15" ht="12.75">
      <c r="A39" s="92" t="s">
        <v>20</v>
      </c>
      <c r="B39" s="93" t="s">
        <v>25</v>
      </c>
      <c r="C39" s="122"/>
      <c r="D39" s="85">
        <f>MIN(IF(C39&lt;&gt;0,IF('Arrear_78.2'!A40='Arrear_78.2'!$E$4,'Arrear_78.2'!C39+INC1*2,'Arrear_78.2'!C39),1),OBPH1)</f>
        <v>1</v>
      </c>
      <c r="E39" s="85">
        <f>IF(C39=0,1,IF(C39="Y",IF(A39=N39,ROUNDUP(ROUND('Arrear_78.2'!C52*106%-0.01,0),-1),ROUNDUP(ROUND('Arrear_78.2'!C52*103%-0.01,0),-1)),C39))</f>
        <v>1</v>
      </c>
      <c r="F39" s="86">
        <v>0.01</v>
      </c>
      <c r="G39" s="87">
        <v>1</v>
      </c>
      <c r="H39" s="113"/>
      <c r="I39" s="85">
        <f>IF(C39=0,1,IF(C39="Y",IF(A39=N39,ROUNDUP(ROUND('Arrear_78.2'!L52*106%-0.01,0),-1),ROUNDUP(ROUND('Arrear_78.2'!L52*103%-0.01,0),-1)),ROUNDUP(ROUND(E39*1.05595-0.01,0),-1)))</f>
        <v>1</v>
      </c>
      <c r="J39" s="108">
        <f t="shared" si="27"/>
        <v>0.01</v>
      </c>
      <c r="K39" s="112">
        <f t="shared" si="28"/>
        <v>1</v>
      </c>
      <c r="L39" s="112"/>
      <c r="M39" s="149">
        <f t="shared" si="3"/>
        <v>0</v>
      </c>
      <c r="N39" s="152" t="str">
        <f t="shared" si="4"/>
        <v>Jul</v>
      </c>
      <c r="O39" s="155"/>
    </row>
    <row r="40" spans="1:15" ht="12.75">
      <c r="A40" s="92" t="s">
        <v>21</v>
      </c>
      <c r="B40" s="93" t="s">
        <v>25</v>
      </c>
      <c r="C40" s="99"/>
      <c r="D40" s="85">
        <f>MIN(IF(C40&lt;&gt;0,IF('Arrear_78.2'!A41='Arrear_78.2'!$E$4,'Arrear_78.2'!C40+INC1*2,'Arrear_78.2'!C40),1),OBPH1)</f>
        <v>1</v>
      </c>
      <c r="E40" s="85">
        <f>IF(C40=0,1,IF(C40="Y",IF(A40=N40,ROUNDUP(ROUND('Arrear_78.2'!C53*106%-0.01,0),-1),ROUNDUP(ROUND('Arrear_78.2'!C53*103%-0.01,0),-1)),C40))</f>
        <v>1</v>
      </c>
      <c r="F40" s="86">
        <v>0.01</v>
      </c>
      <c r="G40" s="87">
        <v>1</v>
      </c>
      <c r="H40" s="113"/>
      <c r="I40" s="85">
        <f>IF(C40=0,1,IF(C40="Y",IF(A40=N40,ROUNDUP(ROUND('Arrear_78.2'!L53*106%-0.01,0),-1),ROUNDUP(ROUND('Arrear_78.2'!L53*103%-0.01,0),-1)),ROUNDUP(ROUND(E40*1.05595-0.01,0),-1)))</f>
        <v>1</v>
      </c>
      <c r="J40" s="108">
        <f t="shared" si="27"/>
        <v>0.01</v>
      </c>
      <c r="K40" s="112">
        <f t="shared" si="28"/>
        <v>1</v>
      </c>
      <c r="L40" s="112"/>
      <c r="M40" s="149">
        <f t="shared" si="3"/>
        <v>0</v>
      </c>
      <c r="N40" s="152" t="str">
        <f t="shared" si="4"/>
        <v>Jul</v>
      </c>
      <c r="O40" s="155"/>
    </row>
    <row r="41" spans="1:15" ht="12.75">
      <c r="A41" s="92" t="s">
        <v>1</v>
      </c>
      <c r="B41" s="93" t="s">
        <v>25</v>
      </c>
      <c r="C41" s="99"/>
      <c r="D41" s="85">
        <f>MIN(IF(C41&lt;&gt;0,IF('Arrear_78.2'!A42='Arrear_78.2'!$E$4,'Arrear_78.2'!C41+INC1*2,'Arrear_78.2'!C41),1),OBPH1)</f>
        <v>1</v>
      </c>
      <c r="E41" s="85">
        <f>IF(C41=0,1,IF(C41="Y",IF(A41=N41,ROUNDUP(ROUND('Arrear_78.2'!C54*106%-0.01,0),-1),ROUNDUP(ROUND('Arrear_78.2'!C54*103%-0.01,0),-1)),C41))</f>
        <v>1</v>
      </c>
      <c r="F41" s="86">
        <v>0.01</v>
      </c>
      <c r="G41" s="87">
        <v>1</v>
      </c>
      <c r="H41" s="113"/>
      <c r="I41" s="85">
        <f>IF(C41=0,1,IF(C41="Y",IF(A41=N41,ROUNDUP(ROUND('Arrear_78.2'!L54*106%-0.01,0),-1),ROUNDUP(ROUND('Arrear_78.2'!L54*103%-0.01,0),-1)),ROUNDUP(ROUND(E41*1.05595-0.01,0),-1)))</f>
        <v>1</v>
      </c>
      <c r="J41" s="108">
        <f t="shared" si="27"/>
        <v>0.01</v>
      </c>
      <c r="K41" s="112">
        <f t="shared" si="28"/>
        <v>1</v>
      </c>
      <c r="L41" s="112"/>
      <c r="M41" s="149">
        <f t="shared" si="3"/>
        <v>0</v>
      </c>
      <c r="N41" s="152" t="str">
        <f t="shared" si="4"/>
        <v>Jul</v>
      </c>
      <c r="O41" s="155"/>
    </row>
    <row r="42" spans="1:15" ht="12.75">
      <c r="A42" s="92" t="s">
        <v>11</v>
      </c>
      <c r="B42" s="93" t="s">
        <v>25</v>
      </c>
      <c r="C42" s="99"/>
      <c r="D42" s="85">
        <f>MIN(IF(C42&lt;&gt;0,IF('Arrear_78.2'!A43='Arrear_78.2'!$E$4,'Arrear_78.2'!C42+INC1*2,'Arrear_78.2'!C42),1),OBPH1)</f>
        <v>1</v>
      </c>
      <c r="E42" s="85">
        <f>IF(C42=0,1,IF(C42="Y",IF(A42=N42,ROUNDUP(ROUND('Arrear_78.2'!C55*106%-0.01,0),-1),ROUNDUP(ROUND('Arrear_78.2'!C55*103%-0.01,0),-1)),C42))</f>
        <v>1</v>
      </c>
      <c r="F42" s="86">
        <v>0.01</v>
      </c>
      <c r="G42" s="87">
        <v>1</v>
      </c>
      <c r="H42" s="113"/>
      <c r="I42" s="85">
        <f>IF(C42=0,1,IF(C42="Y",IF(A42=N42,ROUNDUP(ROUND('Arrear_78.2'!L55*106%-0.01,0),-1),ROUNDUP(ROUND('Arrear_78.2'!L55*103%-0.01,0),-1)),ROUNDUP(ROUND(E42*1.05595-0.01,0),-1)))</f>
        <v>1</v>
      </c>
      <c r="J42" s="108">
        <f t="shared" si="27"/>
        <v>0.01</v>
      </c>
      <c r="K42" s="112">
        <f t="shared" si="28"/>
        <v>1</v>
      </c>
      <c r="L42" s="112"/>
      <c r="M42" s="149">
        <f t="shared" si="3"/>
        <v>0</v>
      </c>
      <c r="N42" s="152" t="str">
        <f t="shared" si="4"/>
        <v>Jul</v>
      </c>
      <c r="O42" s="155"/>
    </row>
    <row r="43" spans="1:15" ht="12.75">
      <c r="A43" s="92" t="s">
        <v>12</v>
      </c>
      <c r="B43" s="93" t="s">
        <v>25</v>
      </c>
      <c r="C43" s="99"/>
      <c r="D43" s="85">
        <f>MIN(IF(C43&lt;&gt;0,IF('Arrear_78.2'!A44='Arrear_78.2'!$E$4,'Arrear_78.2'!C43+INC1*2,'Arrear_78.2'!C43),1),OBPH1)</f>
        <v>1</v>
      </c>
      <c r="E43" s="85">
        <f>IF(C43=0,1,IF(C43="Y",IF(A43=N43,ROUNDUP(ROUND('Arrear_78.2'!C56*106%-0.01,0),-1),ROUNDUP(ROUND('Arrear_78.2'!C56*103%-0.01,0),-1)),C43))</f>
        <v>1</v>
      </c>
      <c r="F43" s="86">
        <v>0.01</v>
      </c>
      <c r="G43" s="87">
        <v>1</v>
      </c>
      <c r="H43" s="113"/>
      <c r="I43" s="85">
        <f>IF(C43=0,1,IF(C43="Y",IF(A43=N43,ROUNDUP(ROUND('Arrear_78.2'!L56*106%-0.01,0),-1),ROUNDUP(ROUND('Arrear_78.2'!L56*103%-0.01,0),-1)),ROUNDUP(ROUND(E43*1.05595-0.01,0),-1)))</f>
        <v>1</v>
      </c>
      <c r="J43" s="108">
        <f t="shared" si="27"/>
        <v>0.01</v>
      </c>
      <c r="K43" s="112">
        <f t="shared" si="28"/>
        <v>1</v>
      </c>
      <c r="L43" s="112"/>
      <c r="M43" s="149">
        <f t="shared" si="3"/>
        <v>0</v>
      </c>
      <c r="N43" s="152" t="str">
        <f t="shared" si="4"/>
        <v>Jul</v>
      </c>
      <c r="O43" s="155"/>
    </row>
    <row r="44" spans="1:15" ht="12.75">
      <c r="A44" s="92" t="s">
        <v>13</v>
      </c>
      <c r="B44" s="93" t="s">
        <v>113</v>
      </c>
      <c r="C44" s="122"/>
      <c r="D44" s="85">
        <f>MIN(IF(C44&lt;&gt;0,IF('Arrear_78.2'!A45='Arrear_78.2'!$E$4,'Arrear_78.2'!C44+INC1*2,'Arrear_78.2'!C44),1),OBPH1)</f>
        <v>1</v>
      </c>
      <c r="E44" s="85">
        <f>IF(C44=0,1,IF(C44="Y",IF(A44=N44,ROUNDUP(ROUND('Arrear_78.2'!C57*106%-0.01,0),-1),ROUNDUP(ROUND('Arrear_78.2'!C57*103%-0.01,0),-1)),C44))</f>
        <v>1</v>
      </c>
      <c r="F44" s="86">
        <v>0.01</v>
      </c>
      <c r="G44" s="87">
        <v>1</v>
      </c>
      <c r="H44" s="113"/>
      <c r="I44" s="85">
        <f>IF(C44=0,1,IF(C44="Y",IF(A44=N44,ROUNDUP(ROUND('Arrear_78.2'!L57*106%-0.01,0),-1),ROUNDUP(ROUND('Arrear_78.2'!L57*103%-0.01,0),-1)),ROUNDUP(ROUND(E44*1.05595-0.01,0),-1)))</f>
        <v>1</v>
      </c>
      <c r="J44" s="108">
        <f t="shared" si="27"/>
        <v>0.01</v>
      </c>
      <c r="K44" s="112">
        <f t="shared" si="28"/>
        <v>1</v>
      </c>
      <c r="L44" s="112"/>
      <c r="M44" s="149">
        <f t="shared" si="3"/>
        <v>0</v>
      </c>
      <c r="N44" s="152" t="str">
        <f t="shared" si="4"/>
        <v>Jul</v>
      </c>
      <c r="O44" s="155"/>
    </row>
    <row r="45" spans="1:15" ht="12.75">
      <c r="A45" s="92" t="s">
        <v>14</v>
      </c>
      <c r="B45" s="93" t="s">
        <v>113</v>
      </c>
      <c r="C45" s="122"/>
      <c r="D45" s="85">
        <f>MIN(IF(C45&lt;&gt;0,IF('Arrear_78.2'!A46='Arrear_78.2'!$E$4,'Arrear_78.2'!C45+INC1*2,'Arrear_78.2'!C45),1),OBPH1)</f>
        <v>1</v>
      </c>
      <c r="E45" s="85">
        <f>IF(C45=0,1,IF(C45="Y",IF(A45=N45,ROUNDUP(ROUND('Arrear_78.2'!C58*106%-0.01,0),-1),ROUNDUP(ROUND('Arrear_78.2'!C58*103%-0.01,0),-1)),C45))</f>
        <v>1</v>
      </c>
      <c r="F45" s="86">
        <v>0.01</v>
      </c>
      <c r="G45" s="87">
        <v>1</v>
      </c>
      <c r="H45" s="113"/>
      <c r="I45" s="85">
        <f>IF(C45=0,1,IF(C45="Y",IF(A45=N45,ROUNDUP(ROUND('Arrear_78.2'!L58*106%-0.01,0),-1),ROUNDUP(ROUND('Arrear_78.2'!L58*103%-0.01,0),-1)),ROUNDUP(ROUND(E45*1.05595-0.01,0),-1)))</f>
        <v>1</v>
      </c>
      <c r="J45" s="108">
        <f t="shared" si="27"/>
        <v>0.01</v>
      </c>
      <c r="K45" s="112">
        <f t="shared" si="28"/>
        <v>1</v>
      </c>
      <c r="L45" s="112"/>
      <c r="M45" s="149">
        <f t="shared" si="3"/>
        <v>0</v>
      </c>
      <c r="N45" s="152" t="str">
        <f t="shared" si="4"/>
        <v>Jul</v>
      </c>
      <c r="O45" s="155"/>
    </row>
    <row r="46" spans="1:15" ht="12.75">
      <c r="A46" s="92" t="s">
        <v>15</v>
      </c>
      <c r="B46" s="93" t="s">
        <v>113</v>
      </c>
      <c r="C46" s="99"/>
      <c r="D46" s="85">
        <f>MIN(IF(C46&lt;&gt;0,IF('Arrear_78.2'!A47='Arrear_78.2'!$E$4,'Arrear_78.2'!C46+INC1*2,'Arrear_78.2'!C46),1),OBPH1)</f>
        <v>1</v>
      </c>
      <c r="E46" s="85">
        <f>IF(C46=0,1,IF(C46="Y",IF(A46=N46,ROUNDUP(ROUND('Arrear_78.2'!C59*106%-0.01,0),-1),ROUNDUP(ROUND('Arrear_78.2'!C59*103%-0.01,0),-1)),C46))</f>
        <v>1</v>
      </c>
      <c r="F46" s="86">
        <v>0.01</v>
      </c>
      <c r="G46" s="87">
        <v>1</v>
      </c>
      <c r="H46" s="113"/>
      <c r="I46" s="85">
        <f>IF(C46=0,1,IF(C46="Y",IF(A46=N46,ROUNDUP(ROUND('Arrear_78.2'!L59*106%-0.01,0),-1),ROUNDUP(ROUND('Arrear_78.2'!L59*103%-0.01,0),-1)),ROUNDUP(ROUND(E46*1.05595-0.01,0),-1)))</f>
        <v>1</v>
      </c>
      <c r="J46" s="108">
        <f t="shared" si="27"/>
        <v>0.01</v>
      </c>
      <c r="K46" s="112">
        <f t="shared" si="28"/>
        <v>1</v>
      </c>
      <c r="L46" s="112"/>
      <c r="M46" s="149">
        <f t="shared" si="3"/>
        <v>0</v>
      </c>
      <c r="N46" s="152" t="str">
        <f t="shared" si="4"/>
        <v>Jul</v>
      </c>
      <c r="O46" s="155"/>
    </row>
    <row r="47" spans="1:15" ht="12.75">
      <c r="A47" s="92" t="s">
        <v>16</v>
      </c>
      <c r="B47" s="93" t="s">
        <v>113</v>
      </c>
      <c r="C47" s="99"/>
      <c r="D47" s="85">
        <f>MIN(IF(C47&lt;&gt;0,IF('Arrear_78.2'!A48='Arrear_78.2'!$E$4,'Arrear_78.2'!C47+INC1*2,'Arrear_78.2'!C47),1),OBPH1)</f>
        <v>1</v>
      </c>
      <c r="E47" s="85">
        <f>IF(C47=0,1,IF(C47="Y",IF(A47=N47,ROUNDUP(ROUND('Arrear_78.2'!C60*106%-0.01,0),-1),ROUNDUP(ROUND('Arrear_78.2'!C60*103%-0.01,0),-1)),C47))</f>
        <v>1</v>
      </c>
      <c r="F47" s="86">
        <v>0.01</v>
      </c>
      <c r="G47" s="87">
        <v>1</v>
      </c>
      <c r="H47" s="113"/>
      <c r="I47" s="85">
        <f>IF(C47=0,1,IF(C47="Y",IF(A47=N47,ROUNDUP(ROUND('Arrear_78.2'!L60*106%-0.01,0),-1),ROUNDUP(ROUND('Arrear_78.2'!L60*103%-0.01,0),-1)),ROUNDUP(ROUND(E47*1.05595-0.01,0),-1)))</f>
        <v>1</v>
      </c>
      <c r="J47" s="108">
        <f t="shared" si="27"/>
        <v>0.01</v>
      </c>
      <c r="K47" s="112">
        <f t="shared" si="28"/>
        <v>1</v>
      </c>
      <c r="L47" s="112"/>
      <c r="M47" s="149">
        <f t="shared" si="3"/>
        <v>0</v>
      </c>
      <c r="N47" s="152" t="str">
        <f t="shared" si="4"/>
        <v>Jul</v>
      </c>
      <c r="O47" s="155"/>
    </row>
    <row r="48" spans="1:15" ht="12.75">
      <c r="A48" s="92" t="s">
        <v>17</v>
      </c>
      <c r="B48" s="93" t="s">
        <v>113</v>
      </c>
      <c r="C48" s="99"/>
      <c r="D48" s="85">
        <f>MIN(IF(C48&lt;&gt;0,IF('Arrear_78.2'!A49='Arrear_78.2'!$E$4,'Arrear_78.2'!C48+INC1*2,'Arrear_78.2'!C48),1),OBPH1)</f>
        <v>1</v>
      </c>
      <c r="E48" s="85">
        <f>IF(C48=0,1,IF(C48="Y",IF(A48=N48,ROUNDUP(ROUND('Arrear_78.2'!C61*106%-0.01,0),-1),ROUNDUP(ROUND('Arrear_78.2'!C61*103%-0.01,0),-1)),C48))</f>
        <v>1</v>
      </c>
      <c r="F48" s="86">
        <v>0.01</v>
      </c>
      <c r="G48" s="87">
        <v>1</v>
      </c>
      <c r="H48" s="113"/>
      <c r="I48" s="85">
        <f>IF(C48=0,1,IF(C48="Y",IF(A48=N48,ROUNDUP(ROUND('Arrear_78.2'!L61*106%-0.01,0),-1),ROUNDUP(ROUND('Arrear_78.2'!L61*103%-0.01,0),-1)),ROUNDUP(ROUND(E48*1.05595-0.01,0),-1)))</f>
        <v>1</v>
      </c>
      <c r="J48" s="108">
        <f t="shared" si="27"/>
        <v>0.01</v>
      </c>
      <c r="K48" s="112">
        <f t="shared" si="28"/>
        <v>1</v>
      </c>
      <c r="L48" s="112"/>
      <c r="M48" s="149">
        <f t="shared" si="3"/>
        <v>0</v>
      </c>
      <c r="N48" s="152" t="str">
        <f t="shared" si="4"/>
        <v>Jul</v>
      </c>
      <c r="O48" s="155"/>
    </row>
    <row r="49" spans="1:15" ht="12.75">
      <c r="A49" s="92" t="s">
        <v>18</v>
      </c>
      <c r="B49" s="93" t="s">
        <v>113</v>
      </c>
      <c r="C49" s="99"/>
      <c r="D49" s="85">
        <f>MIN(IF(C49&lt;&gt;0,IF('Arrear_78.2'!A50='Arrear_78.2'!$E$4,'Arrear_78.2'!C49+INC1*2,'Arrear_78.2'!C49),1),OBPH1)</f>
        <v>1</v>
      </c>
      <c r="E49" s="85">
        <f>IF(C49=0,1,IF(C49="Y",IF(A49=N49,ROUNDUP(ROUND('Arrear_78.2'!C62*106%-0.01,0),-1),ROUNDUP(ROUND('Arrear_78.2'!C62*103%-0.01,0),-1)),C49))</f>
        <v>1</v>
      </c>
      <c r="F49" s="86">
        <v>0.01</v>
      </c>
      <c r="G49" s="87">
        <v>1</v>
      </c>
      <c r="H49" s="113"/>
      <c r="I49" s="85">
        <f>IF(C49=0,1,IF(C49="Y",IF(A49=N49,ROUNDUP(ROUND('Arrear_78.2'!L62*106%-0.01,0),-1),ROUNDUP(ROUND('Arrear_78.2'!L62*103%-0.01,0),-1)),ROUNDUP(ROUND(E49*1.05595-0.01,0),-1)))</f>
        <v>1</v>
      </c>
      <c r="J49" s="108">
        <f t="shared" si="27"/>
        <v>0.01</v>
      </c>
      <c r="K49" s="112">
        <f t="shared" si="28"/>
        <v>1</v>
      </c>
      <c r="L49" s="112"/>
      <c r="M49" s="149">
        <f t="shared" si="3"/>
        <v>0</v>
      </c>
      <c r="N49" s="152" t="str">
        <f t="shared" si="4"/>
        <v>Jul</v>
      </c>
      <c r="O49" s="155"/>
    </row>
    <row r="50" spans="1:15" ht="12.75">
      <c r="A50" s="92" t="s">
        <v>19</v>
      </c>
      <c r="B50" s="93" t="s">
        <v>113</v>
      </c>
      <c r="C50" s="94"/>
      <c r="D50" s="85">
        <f>MIN(IF(C50&lt;&gt;0,IF('Arrear_78.2'!A51='Arrear_78.2'!$E$4,'Arrear_78.2'!C50+INC1*2,'Arrear_78.2'!C50),1),OBPH1)</f>
        <v>1</v>
      </c>
      <c r="E50" s="85">
        <f>IF(C50=0,1,IF(C50="Y",IF(A50=N50,ROUNDUP(ROUND('Arrear_78.2'!C63*106%-0.01,0),-1),ROUNDUP(ROUND('Arrear_78.2'!C63*103%-0.01,0),-1)),C50))</f>
        <v>1</v>
      </c>
      <c r="F50" s="86">
        <v>0.01</v>
      </c>
      <c r="G50" s="87">
        <v>1</v>
      </c>
      <c r="H50" s="113"/>
      <c r="I50" s="85">
        <f>IF(C50=0,1,IF(C50="Y",IF(A50=N50,ROUNDUP(ROUND('Arrear_78.2'!L63*106%-0.01,0),-1),ROUNDUP(ROUND('Arrear_78.2'!L63*103%-0.01,0),-1)),ROUNDUP(ROUND(E50*1.05595-0.01,0),-1)))</f>
        <v>1</v>
      </c>
      <c r="J50" s="108">
        <f t="shared" si="27"/>
        <v>0.01</v>
      </c>
      <c r="K50" s="112">
        <f t="shared" si="28"/>
        <v>1</v>
      </c>
      <c r="L50" s="112"/>
      <c r="M50" s="149">
        <f t="shared" si="3"/>
        <v>0</v>
      </c>
      <c r="N50" s="152" t="str">
        <f t="shared" si="4"/>
        <v>Jul</v>
      </c>
      <c r="O50" s="155"/>
    </row>
    <row r="51" spans="1:15" ht="12.75">
      <c r="A51" s="92" t="s">
        <v>20</v>
      </c>
      <c r="B51" s="93" t="s">
        <v>113</v>
      </c>
      <c r="C51" s="122"/>
      <c r="D51" s="85">
        <f>MIN(IF(C51&lt;&gt;0,IF('Arrear_78.2'!A52='Arrear_78.2'!$E$4,'Arrear_78.2'!C51+INC1*2,'Arrear_78.2'!C51),1),OBPH1)</f>
        <v>1</v>
      </c>
      <c r="E51" s="85">
        <f>IF(C51=0,1,IF(C51="Y",IF(A51=N51,ROUNDUP(ROUND('Arrear_78.2'!C64*106%-0.01,0),-1),ROUNDUP(ROUND('Arrear_78.2'!C64*103%-0.01,0),-1)),C51))</f>
        <v>1</v>
      </c>
      <c r="F51" s="86">
        <v>0.01</v>
      </c>
      <c r="G51" s="87">
        <v>1</v>
      </c>
      <c r="H51" s="113"/>
      <c r="I51" s="85">
        <f>IF(C51=0,1,IF(C51="Y",IF(A51=N51,ROUNDUP(ROUND('Arrear_78.2'!L64*106%-0.01,0),-1),ROUNDUP(ROUND('Arrear_78.2'!L64*103%-0.01,0),-1)),ROUNDUP(ROUND(E51*1.05595-0.01,0),-1)))</f>
        <v>1</v>
      </c>
      <c r="J51" s="108">
        <f t="shared" si="27"/>
        <v>0.01</v>
      </c>
      <c r="K51" s="112">
        <f t="shared" si="28"/>
        <v>1</v>
      </c>
      <c r="L51" s="112"/>
      <c r="M51" s="149">
        <f t="shared" si="3"/>
        <v>0</v>
      </c>
      <c r="N51" s="152" t="str">
        <f t="shared" si="4"/>
        <v>Jul</v>
      </c>
      <c r="O51" s="155"/>
    </row>
    <row r="52" spans="1:15" ht="12.75">
      <c r="A52" s="92" t="s">
        <v>21</v>
      </c>
      <c r="B52" s="93" t="s">
        <v>113</v>
      </c>
      <c r="C52" s="99"/>
      <c r="D52" s="85">
        <f>MIN(IF(C52&lt;&gt;0,IF('Arrear_78.2'!A53='Arrear_78.2'!$E$4,'Arrear_78.2'!C52+INC1*2,'Arrear_78.2'!C52),1),OBPH1)</f>
        <v>1</v>
      </c>
      <c r="E52" s="85">
        <f>IF(C52=0,1,IF(C52="Y",IF(A52=N52,ROUNDUP(ROUND('Arrear_78.2'!C65*106%-0.01,0),-1),ROUNDUP(ROUND('Arrear_78.2'!C65*103%-0.01,0),-1)),C52))</f>
        <v>1</v>
      </c>
      <c r="F52" s="86">
        <v>0.01</v>
      </c>
      <c r="G52" s="87">
        <v>1</v>
      </c>
      <c r="H52" s="113"/>
      <c r="I52" s="85">
        <f>IF(C52=0,1,IF(C52="Y",IF(A52=N52,ROUNDUP(ROUND('Arrear_78.2'!L65*106%-0.01,0),-1),ROUNDUP(ROUND('Arrear_78.2'!L65*103%-0.01,0),-1)),ROUNDUP(ROUND(E52*1.05595-0.01,0),-1)))</f>
        <v>1</v>
      </c>
      <c r="J52" s="108">
        <f t="shared" si="27"/>
        <v>0.01</v>
      </c>
      <c r="K52" s="112">
        <f t="shared" si="28"/>
        <v>1</v>
      </c>
      <c r="L52" s="112"/>
      <c r="M52" s="149">
        <f t="shared" si="3"/>
        <v>0</v>
      </c>
      <c r="N52" s="152" t="str">
        <f t="shared" si="4"/>
        <v>Jul</v>
      </c>
      <c r="O52" s="155"/>
    </row>
    <row r="53" spans="1:15" ht="12.75">
      <c r="A53" s="92" t="s">
        <v>1</v>
      </c>
      <c r="B53" s="93" t="s">
        <v>113</v>
      </c>
      <c r="C53" s="99"/>
      <c r="D53" s="85">
        <f>MIN(IF(C53&lt;&gt;0,IF('Arrear_78.2'!A54='Arrear_78.2'!$E$4,'Arrear_78.2'!C53+INC1*2,'Arrear_78.2'!C53),1),OBPH1)</f>
        <v>1</v>
      </c>
      <c r="E53" s="85">
        <f>IF(C53=0,1,IF(C53="Y",IF(A53=N53,ROUNDUP(ROUND('Arrear_78.2'!C66*106%-0.01,0),-1),ROUNDUP(ROUND('Arrear_78.2'!C66*103%-0.01,0),-1)),C53))</f>
        <v>1</v>
      </c>
      <c r="F53" s="86">
        <v>0.01</v>
      </c>
      <c r="G53" s="87">
        <v>1</v>
      </c>
      <c r="H53" s="113"/>
      <c r="I53" s="85">
        <f>IF(C53=0,1,IF(C53="Y",IF(A53=N53,ROUNDUP(ROUND('Arrear_78.2'!L66*106%-0.01,0),-1),ROUNDUP(ROUND('Arrear_78.2'!L66*103%-0.01,0),-1)),ROUNDUP(ROUND(E53*1.05595-0.01,0),-1)))</f>
        <v>1</v>
      </c>
      <c r="J53" s="108">
        <f t="shared" si="27"/>
        <v>0.01</v>
      </c>
      <c r="K53" s="112">
        <f t="shared" si="28"/>
        <v>1</v>
      </c>
      <c r="L53" s="112"/>
      <c r="M53" s="149">
        <f t="shared" si="3"/>
        <v>0</v>
      </c>
      <c r="N53" s="152" t="str">
        <f t="shared" si="4"/>
        <v>Jul</v>
      </c>
      <c r="O53" s="155"/>
    </row>
    <row r="54" spans="1:15" ht="12.75">
      <c r="A54" s="92" t="s">
        <v>11</v>
      </c>
      <c r="B54" s="93" t="s">
        <v>113</v>
      </c>
      <c r="C54" s="122"/>
      <c r="D54" s="85">
        <f>MIN(IF(C54&lt;&gt;0,IF('Arrear_78.2'!A55='Arrear_78.2'!$E$4,'Arrear_78.2'!C54+INC1*2,'Arrear_78.2'!C54),1),OBPH1)</f>
        <v>1</v>
      </c>
      <c r="E54" s="85">
        <f>IF(C54=0,1,IF(C54="Y",IF(A54=N54,ROUNDUP(ROUND('Arrear_78.2'!C67*106%-0.01,0),-1),ROUNDUP(ROUND('Arrear_78.2'!C67*103%-0.01,0),-1)),C54))</f>
        <v>1</v>
      </c>
      <c r="F54" s="86">
        <v>0.01</v>
      </c>
      <c r="G54" s="87">
        <v>1</v>
      </c>
      <c r="H54" s="113"/>
      <c r="I54" s="85">
        <f>IF(C54=0,1,IF(C54="Y",IF(A54=N54,ROUNDUP(ROUND('Arrear_78.2'!L67*106%-0.01,0),-1),ROUNDUP(ROUND('Arrear_78.2'!L67*103%-0.01,0),-1)),ROUNDUP(ROUND(E54*1.05595-0.01,0),-1)))</f>
        <v>1</v>
      </c>
      <c r="J54" s="108">
        <f t="shared" si="27"/>
        <v>0.01</v>
      </c>
      <c r="K54" s="112">
        <f t="shared" si="28"/>
        <v>1</v>
      </c>
      <c r="L54" s="112"/>
      <c r="M54" s="149">
        <f t="shared" si="3"/>
        <v>0</v>
      </c>
      <c r="N54" s="152" t="str">
        <f t="shared" si="4"/>
        <v>Jul</v>
      </c>
      <c r="O54" s="155"/>
    </row>
    <row r="55" spans="1:15" ht="12.75">
      <c r="A55" s="92" t="s">
        <v>12</v>
      </c>
      <c r="B55" s="93" t="s">
        <v>113</v>
      </c>
      <c r="C55" s="99"/>
      <c r="D55" s="85">
        <f>MIN(IF(C55&lt;&gt;0,IF('Arrear_78.2'!A56='Arrear_78.2'!$E$4,'Arrear_78.2'!C55+INC1*2,'Arrear_78.2'!C55),1),OBPH1)</f>
        <v>1</v>
      </c>
      <c r="E55" s="85">
        <f>IF(C55=0,1,IF(C55="Y",IF(A55=N55,ROUNDUP(ROUND('Arrear_78.2'!C68*106%-0.01,0),-1),ROUNDUP(ROUND('Arrear_78.2'!C68*103%-0.01,0),-1)),C55))</f>
        <v>1</v>
      </c>
      <c r="F55" s="86">
        <v>0.01</v>
      </c>
      <c r="G55" s="87">
        <v>1</v>
      </c>
      <c r="H55" s="113"/>
      <c r="I55" s="85">
        <f>IF(C55=0,1,IF(C55="Y",IF(A55=N55,ROUNDUP(ROUND('Arrear_78.2'!L68*106%-0.01,0),-1),ROUNDUP(ROUND('Arrear_78.2'!L68*103%-0.01,0),-1)),ROUNDUP(ROUND(E55*1.05595-0.01,0),-1)))</f>
        <v>1</v>
      </c>
      <c r="J55" s="108">
        <f t="shared" si="27"/>
        <v>0.01</v>
      </c>
      <c r="K55" s="112">
        <f t="shared" si="28"/>
        <v>1</v>
      </c>
      <c r="L55" s="112"/>
      <c r="M55" s="149">
        <f t="shared" si="3"/>
        <v>0</v>
      </c>
      <c r="N55" s="152" t="str">
        <f t="shared" si="4"/>
        <v>Jul</v>
      </c>
      <c r="O55" s="155"/>
    </row>
    <row r="56" spans="1:15" ht="12.75">
      <c r="A56" s="92" t="s">
        <v>13</v>
      </c>
      <c r="B56" s="93" t="s">
        <v>114</v>
      </c>
      <c r="C56" s="99"/>
      <c r="D56" s="85">
        <f>MIN(IF(C56&lt;&gt;0,IF('Arrear_78.2'!A57='Arrear_78.2'!$E$4,'Arrear_78.2'!C56+INC1*2,'Arrear_78.2'!C56),1),OBPH1)</f>
        <v>1</v>
      </c>
      <c r="E56" s="85">
        <f>IF(C56=0,1,IF(C56="Y",IF(A56=N56,ROUNDUP(ROUND('Arrear_78.2'!C69*106%-0.01,0),-1),ROUNDUP(ROUND('Arrear_78.2'!C69*103%-0.01,0),-1)),C56))</f>
        <v>1</v>
      </c>
      <c r="F56" s="86">
        <v>0.01</v>
      </c>
      <c r="G56" s="87">
        <v>1</v>
      </c>
      <c r="H56" s="113"/>
      <c r="I56" s="85">
        <f>IF(C56=0,1,IF(C56="Y",IF(A56=N56,ROUNDUP(ROUND('Arrear_78.2'!L69*106%-0.01,0),-1),ROUNDUP(ROUND('Arrear_78.2'!L69*103%-0.01,0),-1)),ROUNDUP(ROUND(E56*1.05595-0.01,0),-1)))</f>
        <v>1</v>
      </c>
      <c r="J56" s="108">
        <f t="shared" si="27"/>
        <v>0.01</v>
      </c>
      <c r="K56" s="112">
        <f t="shared" si="28"/>
        <v>1</v>
      </c>
      <c r="L56" s="112"/>
      <c r="M56" s="149">
        <f t="shared" si="3"/>
        <v>0</v>
      </c>
      <c r="N56" s="152" t="str">
        <f t="shared" si="4"/>
        <v>Jul</v>
      </c>
      <c r="O56" s="155"/>
    </row>
    <row r="57" spans="1:15" ht="12.75">
      <c r="A57" s="92" t="s">
        <v>14</v>
      </c>
      <c r="B57" s="93" t="s">
        <v>114</v>
      </c>
      <c r="C57" s="99"/>
      <c r="D57" s="85">
        <f>MIN(IF(C57&lt;&gt;0,IF('Arrear_78.2'!A58='Arrear_78.2'!$E$4,'Arrear_78.2'!C57+INC1*2,'Arrear_78.2'!C57),1),OBPH1)</f>
        <v>1</v>
      </c>
      <c r="E57" s="85">
        <f>IF(C57=0,1,IF(C57="Y",IF(A57=N57,ROUNDUP(ROUND('Arrear_78.2'!C70*106%-0.01,0),-1),ROUNDUP(ROUND('Arrear_78.2'!C70*103%-0.01,0),-1)),C57))</f>
        <v>1</v>
      </c>
      <c r="F57" s="86">
        <v>0.01</v>
      </c>
      <c r="G57" s="87">
        <v>1</v>
      </c>
      <c r="H57" s="113"/>
      <c r="I57" s="85">
        <f>IF(C57=0,1,IF(C57="Y",IF(A57=N57,ROUNDUP(ROUND('Arrear_78.2'!L70*106%-0.01,0),-1),ROUNDUP(ROUND('Arrear_78.2'!L70*103%-0.01,0),-1)),ROUNDUP(ROUND(E57*1.05595-0.01,0),-1)))</f>
        <v>1</v>
      </c>
      <c r="J57" s="108">
        <f t="shared" si="27"/>
        <v>0.01</v>
      </c>
      <c r="K57" s="112">
        <f t="shared" si="28"/>
        <v>1</v>
      </c>
      <c r="L57" s="112"/>
      <c r="M57" s="149">
        <f t="shared" si="3"/>
        <v>0</v>
      </c>
      <c r="N57" s="152" t="str">
        <f t="shared" si="4"/>
        <v>Jul</v>
      </c>
      <c r="O57" s="155"/>
    </row>
    <row r="58" spans="1:15" ht="12.75">
      <c r="A58" s="92" t="s">
        <v>15</v>
      </c>
      <c r="B58" s="93" t="s">
        <v>114</v>
      </c>
      <c r="C58" s="99"/>
      <c r="D58" s="85">
        <f>MIN(IF(C58&lt;&gt;0,IF('Arrear_78.2'!A59='Arrear_78.2'!$E$4,'Arrear_78.2'!C58+INC1*2,'Arrear_78.2'!C58),1),OBPH1)</f>
        <v>1</v>
      </c>
      <c r="E58" s="85">
        <f>IF(C58=0,1,IF(C58="Y",IF(A58=N58,ROUNDUP(ROUND('Arrear_78.2'!C71*106%-0.01,0),-1),ROUNDUP(ROUND('Arrear_78.2'!C71*103%-0.01,0),-1)),C58))</f>
        <v>1</v>
      </c>
      <c r="F58" s="86">
        <v>0.01</v>
      </c>
      <c r="G58" s="87">
        <v>1</v>
      </c>
      <c r="H58" s="113"/>
      <c r="I58" s="85">
        <f>IF(C58=0,1,IF(C58="Y",IF(A58=N58,ROUNDUP(ROUND('Arrear_78.2'!L71*106%-0.01,0),-1),ROUNDUP(ROUND('Arrear_78.2'!L71*103%-0.01,0),-1)),ROUNDUP(ROUND(E58*1.05595-0.01,0),-1)))</f>
        <v>1</v>
      </c>
      <c r="J58" s="108">
        <f t="shared" si="27"/>
        <v>0.01</v>
      </c>
      <c r="K58" s="112">
        <f t="shared" si="28"/>
        <v>1</v>
      </c>
      <c r="L58" s="112"/>
      <c r="M58" s="149">
        <f t="shared" si="3"/>
        <v>0</v>
      </c>
      <c r="N58" s="152" t="str">
        <f t="shared" si="4"/>
        <v>Jul</v>
      </c>
      <c r="O58" s="155"/>
    </row>
    <row r="59" spans="1:15" ht="12.75">
      <c r="A59" s="92" t="s">
        <v>16</v>
      </c>
      <c r="B59" s="93" t="s">
        <v>114</v>
      </c>
      <c r="C59" s="99"/>
      <c r="D59" s="85">
        <f>MIN(IF(C59&lt;&gt;0,IF('Arrear_78.2'!A60='Arrear_78.2'!$E$4,'Arrear_78.2'!C59+INC1*2,'Arrear_78.2'!C59),1),OBPH1)</f>
        <v>1</v>
      </c>
      <c r="E59" s="85">
        <f>IF(C59=0,1,IF(C59="Y",IF(A59=N59,ROUNDUP(ROUND('Arrear_78.2'!C72*106%-0.01,0),-1),ROUNDUP(ROUND('Arrear_78.2'!C72*103%-0.01,0),-1)),C59))</f>
        <v>1</v>
      </c>
      <c r="F59" s="86">
        <v>0.01</v>
      </c>
      <c r="G59" s="87">
        <v>1</v>
      </c>
      <c r="H59" s="113"/>
      <c r="I59" s="85">
        <f>IF(C59=0,1,IF(C59="Y",IF(A59=N59,ROUNDUP(ROUND('Arrear_78.2'!L72*106%-0.01,0),-1),ROUNDUP(ROUND('Arrear_78.2'!L72*103%-0.01,0),-1)),ROUNDUP(ROUND(E59*1.05595-0.01,0),-1)))</f>
        <v>1</v>
      </c>
      <c r="J59" s="108">
        <f t="shared" si="27"/>
        <v>0.01</v>
      </c>
      <c r="K59" s="112">
        <f t="shared" si="28"/>
        <v>1</v>
      </c>
      <c r="L59" s="112"/>
      <c r="M59" s="149">
        <f t="shared" si="3"/>
        <v>0</v>
      </c>
      <c r="N59" s="152" t="str">
        <f t="shared" si="4"/>
        <v>Jul</v>
      </c>
      <c r="O59" s="155"/>
    </row>
    <row r="60" spans="1:15" ht="12.75">
      <c r="A60" s="92" t="s">
        <v>17</v>
      </c>
      <c r="B60" s="93" t="s">
        <v>114</v>
      </c>
      <c r="C60" s="99"/>
      <c r="D60" s="85">
        <f>MIN(IF(C60&lt;&gt;0,IF('Arrear_78.2'!A61='Arrear_78.2'!$E$4,'Arrear_78.2'!C60+INC1*2,'Arrear_78.2'!C60),1),OBPH1)</f>
        <v>1</v>
      </c>
      <c r="E60" s="85">
        <f>IF(C60=0,1,IF(C60="Y",IF(A60=N60,ROUNDUP(ROUND('Arrear_78.2'!C73*106%-0.01,0),-1),ROUNDUP(ROUND('Arrear_78.2'!C73*103%-0.01,0),-1)),C60))</f>
        <v>1</v>
      </c>
      <c r="F60" s="86">
        <v>0.01</v>
      </c>
      <c r="G60" s="87">
        <v>1</v>
      </c>
      <c r="H60" s="113"/>
      <c r="I60" s="85">
        <f>IF(C60=0,1,IF(C60="Y",IF(A60=N60,ROUNDUP(ROUND('Arrear_78.2'!L73*106%-0.01,0),-1),ROUNDUP(ROUND('Arrear_78.2'!L73*103%-0.01,0),-1)),ROUNDUP(ROUND(E60*1.05595-0.01,0),-1)))</f>
        <v>1</v>
      </c>
      <c r="J60" s="108">
        <f t="shared" si="27"/>
        <v>0.01</v>
      </c>
      <c r="K60" s="112">
        <f t="shared" si="28"/>
        <v>1</v>
      </c>
      <c r="L60" s="112"/>
      <c r="M60" s="149">
        <f t="shared" si="3"/>
        <v>0</v>
      </c>
      <c r="N60" s="152" t="str">
        <f t="shared" si="4"/>
        <v>Jul</v>
      </c>
      <c r="O60" s="155"/>
    </row>
    <row r="61" spans="1:15" ht="12.75">
      <c r="A61" s="92" t="s">
        <v>18</v>
      </c>
      <c r="B61" s="93" t="s">
        <v>114</v>
      </c>
      <c r="C61" s="99"/>
      <c r="D61" s="85">
        <f>MIN(IF(C61&lt;&gt;0,IF('Arrear_78.2'!A62='Arrear_78.2'!$E$4,'Arrear_78.2'!C61+INC1*2,'Arrear_78.2'!C61),1),OBPH1)</f>
        <v>1</v>
      </c>
      <c r="E61" s="85">
        <f>IF(C61=0,1,IF(C61="Y",IF(A61=N61,ROUNDUP(ROUND('Arrear_78.2'!C74*106%-0.01,0),-1),ROUNDUP(ROUND('Arrear_78.2'!C74*103%-0.01,0),-1)),C61))</f>
        <v>1</v>
      </c>
      <c r="F61" s="86">
        <v>0.01</v>
      </c>
      <c r="G61" s="87">
        <v>1</v>
      </c>
      <c r="H61" s="113"/>
      <c r="I61" s="85">
        <f>IF(C61=0,1,IF(C61="Y",IF(A61=N61,ROUNDUP(ROUND('Arrear_78.2'!L74*106%-0.01,0),-1),ROUNDUP(ROUND('Arrear_78.2'!L74*103%-0.01,0),-1)),ROUNDUP(ROUND(E61*1.05595-0.01,0),-1)))</f>
        <v>1</v>
      </c>
      <c r="J61" s="108">
        <f t="shared" si="27"/>
        <v>0.01</v>
      </c>
      <c r="K61" s="112">
        <f t="shared" si="28"/>
        <v>1</v>
      </c>
      <c r="L61" s="112"/>
      <c r="M61" s="149">
        <f t="shared" si="3"/>
        <v>0</v>
      </c>
      <c r="N61" s="152" t="str">
        <f t="shared" si="4"/>
        <v>Jul</v>
      </c>
      <c r="O61" s="155"/>
    </row>
    <row r="62" spans="1:15" ht="12.75">
      <c r="A62" s="92" t="s">
        <v>19</v>
      </c>
      <c r="B62" s="93" t="s">
        <v>114</v>
      </c>
      <c r="C62" s="99"/>
      <c r="D62" s="85">
        <f>MIN(IF(C62&lt;&gt;0,IF('Arrear_78.2'!A63='Arrear_78.2'!$E$4,'Arrear_78.2'!C62+INC1*2,'Arrear_78.2'!C62),1),OBPH1)</f>
        <v>1</v>
      </c>
      <c r="E62" s="85">
        <f>IF(C62=0,1,IF(C62="Y",IF(A62=N62,ROUNDUP(ROUND('Arrear_78.2'!C75*106%-0.01,0),-1),ROUNDUP(ROUND('Arrear_78.2'!C75*103%-0.01,0),-1)),C62))</f>
        <v>1</v>
      </c>
      <c r="F62" s="86">
        <v>0.01</v>
      </c>
      <c r="G62" s="87">
        <v>1</v>
      </c>
      <c r="H62" s="113"/>
      <c r="I62" s="85">
        <f>IF(C62=0,1,IF(C62="Y",IF(A62=N62,ROUNDUP(ROUND('Arrear_78.2'!L75*106%-0.01,0),-1),ROUNDUP(ROUND('Arrear_78.2'!L75*103%-0.01,0),-1)),ROUNDUP(ROUND(E62*1.05595-0.01,0),-1)))</f>
        <v>1</v>
      </c>
      <c r="J62" s="108">
        <f t="shared" si="27"/>
        <v>0.01</v>
      </c>
      <c r="K62" s="112">
        <f t="shared" si="28"/>
        <v>1</v>
      </c>
      <c r="L62" s="112"/>
      <c r="M62" s="149">
        <f t="shared" si="3"/>
        <v>0</v>
      </c>
      <c r="N62" s="152" t="str">
        <f t="shared" si="4"/>
        <v>Jul</v>
      </c>
      <c r="O62" s="155"/>
    </row>
    <row r="63" spans="1:15" ht="12.75">
      <c r="A63" s="92" t="s">
        <v>20</v>
      </c>
      <c r="B63" s="93" t="s">
        <v>114</v>
      </c>
      <c r="C63" s="99"/>
      <c r="D63" s="85">
        <f>MIN(IF(C63&lt;&gt;0,IF('Arrear_78.2'!A64='Arrear_78.2'!$E$4,'Arrear_78.2'!C63+INC1*2,'Arrear_78.2'!C63),1),OBPH1)</f>
        <v>1</v>
      </c>
      <c r="E63" s="85">
        <f>IF(C63=0,1,IF(C63="Y",IF(A63=N63,ROUNDUP(ROUND('Arrear_78.2'!C76*106%-0.01,0),-1),ROUNDUP(ROUND('Arrear_78.2'!C76*103%-0.01,0),-1)),C63))</f>
        <v>1</v>
      </c>
      <c r="F63" s="86">
        <v>0.01</v>
      </c>
      <c r="G63" s="87">
        <v>1</v>
      </c>
      <c r="H63" s="113"/>
      <c r="I63" s="85">
        <f>IF(C63=0,1,IF(C63="Y",IF(A63=N63,ROUNDUP(ROUND('Arrear_78.2'!L76*106%-0.01,0),-1),ROUNDUP(ROUND('Arrear_78.2'!L76*103%-0.01,0),-1)),ROUNDUP(ROUND(E63*1.05595-0.01,0),-1)))</f>
        <v>1</v>
      </c>
      <c r="J63" s="108">
        <f t="shared" si="27"/>
        <v>0.01</v>
      </c>
      <c r="K63" s="112">
        <f t="shared" si="28"/>
        <v>1</v>
      </c>
      <c r="L63" s="112"/>
      <c r="M63" s="149">
        <f t="shared" si="3"/>
        <v>0</v>
      </c>
      <c r="N63" s="152" t="str">
        <f t="shared" si="4"/>
        <v>Jul</v>
      </c>
      <c r="O63" s="155"/>
    </row>
    <row r="64" spans="1:15" ht="12.75">
      <c r="A64" s="92" t="s">
        <v>21</v>
      </c>
      <c r="B64" s="93" t="s">
        <v>114</v>
      </c>
      <c r="C64" s="99"/>
      <c r="D64" s="85">
        <f>MIN(IF(C64&lt;&gt;0,IF('Arrear_78.2'!A65='Arrear_78.2'!$E$4,'Arrear_78.2'!C64+INC1*2,'Arrear_78.2'!C64),1),OBPH1)</f>
        <v>1</v>
      </c>
      <c r="E64" s="85">
        <f>IF(C64=0,1,IF(C64="Y",IF(A64=N64,ROUNDUP(ROUND('Arrear_78.2'!C77*106%-0.01,0),-1),ROUNDUP(ROUND('Arrear_78.2'!C77*103%-0.01,0),-1)),C64))</f>
        <v>1</v>
      </c>
      <c r="F64" s="86">
        <v>0.01</v>
      </c>
      <c r="G64" s="87">
        <v>1</v>
      </c>
      <c r="H64" s="113"/>
      <c r="I64" s="85">
        <f>IF(C64=0,1,IF(C64="Y",IF(A64=N64,ROUNDUP(ROUND('Arrear_78.2'!L77*106%-0.01,0),-1),ROUNDUP(ROUND('Arrear_78.2'!L77*103%-0.01,0),-1)),ROUNDUP(ROUND(E64*1.05595-0.01,0),-1)))</f>
        <v>1</v>
      </c>
      <c r="J64" s="108">
        <f t="shared" si="27"/>
        <v>0.01</v>
      </c>
      <c r="K64" s="112">
        <f t="shared" si="28"/>
        <v>1</v>
      </c>
      <c r="L64" s="112"/>
      <c r="M64" s="149">
        <f t="shared" si="3"/>
        <v>0</v>
      </c>
      <c r="N64" s="152" t="str">
        <f t="shared" si="4"/>
        <v>Jul</v>
      </c>
      <c r="O64" s="155"/>
    </row>
    <row r="65" spans="1:15" ht="12.75">
      <c r="A65" s="92" t="s">
        <v>1</v>
      </c>
      <c r="B65" s="93" t="s">
        <v>114</v>
      </c>
      <c r="C65" s="99"/>
      <c r="D65" s="85">
        <f>MIN(IF(C65&lt;&gt;0,IF('Arrear_78.2'!A66='Arrear_78.2'!$E$4,'Arrear_78.2'!C65+INC1*2,'Arrear_78.2'!C65),1),OBPH1)</f>
        <v>1</v>
      </c>
      <c r="E65" s="85">
        <f>IF(C65=0,1,IF(C65="Y",IF(A65=N65,ROUNDUP(ROUND('Arrear_78.2'!C78*106%-0.01,0),-1),ROUNDUP(ROUND('Arrear_78.2'!C78*103%-0.01,0),-1)),C65))</f>
        <v>1</v>
      </c>
      <c r="F65" s="86">
        <v>0.01</v>
      </c>
      <c r="G65" s="87">
        <v>1</v>
      </c>
      <c r="H65" s="113"/>
      <c r="I65" s="85">
        <f>IF(C65=0,1,IF(C65="Y",IF(A65=N65,ROUNDUP(ROUND('Arrear_78.2'!L78*106%-0.01,0),-1),ROUNDUP(ROUND('Arrear_78.2'!L78*103%-0.01,0),-1)),ROUNDUP(ROUND(E65*1.05595-0.01,0),-1)))</f>
        <v>1</v>
      </c>
      <c r="J65" s="108">
        <f t="shared" si="27"/>
        <v>0.01</v>
      </c>
      <c r="K65" s="112">
        <f t="shared" si="28"/>
        <v>1</v>
      </c>
      <c r="L65" s="112"/>
      <c r="M65" s="149">
        <f t="shared" si="3"/>
        <v>0</v>
      </c>
      <c r="N65" s="152" t="str">
        <f t="shared" si="4"/>
        <v>Jul</v>
      </c>
      <c r="O65" s="155"/>
    </row>
    <row r="66" spans="1:15" ht="12.75">
      <c r="A66" s="92" t="s">
        <v>11</v>
      </c>
      <c r="B66" s="93" t="s">
        <v>114</v>
      </c>
      <c r="C66" s="99"/>
      <c r="D66" s="85">
        <f>MIN(IF(C66&lt;&gt;0,IF('Arrear_78.2'!A67='Arrear_78.2'!$E$4,'Arrear_78.2'!C66+INC1*2,'Arrear_78.2'!C66),1),OBPH1)</f>
        <v>1</v>
      </c>
      <c r="E66" s="85">
        <f>IF(C66=0,1,IF(C66="Y",IF(A66=N66,ROUNDUP(ROUND('Arrear_78.2'!C79*106%-0.01,0),-1),ROUNDUP(ROUND('Arrear_78.2'!C79*103%-0.01,0),-1)),C66))</f>
        <v>1</v>
      </c>
      <c r="F66" s="86">
        <v>0.01</v>
      </c>
      <c r="G66" s="87">
        <v>1</v>
      </c>
      <c r="H66" s="113"/>
      <c r="I66" s="85">
        <f>IF(C66=0,1,IF(C66="Y",IF(A66=N66,ROUNDUP(ROUND('Arrear_78.2'!L79*106%-0.01,0),-1),ROUNDUP(ROUND('Arrear_78.2'!L79*103%-0.01,0),-1)),ROUNDUP(ROUND(E66*1.05595-0.01,0),-1)))</f>
        <v>1</v>
      </c>
      <c r="J66" s="108">
        <f t="shared" si="27"/>
        <v>0.01</v>
      </c>
      <c r="K66" s="112">
        <f t="shared" si="28"/>
        <v>1</v>
      </c>
      <c r="L66" s="112"/>
      <c r="M66" s="149">
        <f t="shared" si="3"/>
        <v>0</v>
      </c>
      <c r="N66" s="152" t="str">
        <f t="shared" si="4"/>
        <v>Jul</v>
      </c>
      <c r="O66" s="155"/>
    </row>
    <row r="67" spans="1:15" ht="12.75">
      <c r="A67" s="92" t="s">
        <v>12</v>
      </c>
      <c r="B67" s="93" t="s">
        <v>114</v>
      </c>
      <c r="C67" s="99"/>
      <c r="D67" s="85">
        <f>MIN(IF(C67&lt;&gt;0,IF('Arrear_78.2'!A68='Arrear_78.2'!$E$4,'Arrear_78.2'!C67+INC1*2,'Arrear_78.2'!C67),1),OBPH1)</f>
        <v>1</v>
      </c>
      <c r="E67" s="85">
        <f>IF(C67=0,1,IF(C67="Y",IF(A67=N67,ROUNDUP(ROUND('Arrear_78.2'!C80*106%-0.01,0),-1),ROUNDUP(ROUND('Arrear_78.2'!C80*103%-0.01,0),-1)),C67))</f>
        <v>1</v>
      </c>
      <c r="F67" s="86">
        <v>0.01</v>
      </c>
      <c r="G67" s="87">
        <v>1</v>
      </c>
      <c r="H67" s="113"/>
      <c r="I67" s="85">
        <f>IF(C67=0,1,IF(C67="Y",IF(A67=N67,ROUNDUP(ROUND('Arrear_78.2'!L80*106%-0.01,0),-1),ROUNDUP(ROUND('Arrear_78.2'!L80*103%-0.01,0),-1)),ROUNDUP(ROUND(E67*1.05595-0.01,0),-1)))</f>
        <v>1</v>
      </c>
      <c r="J67" s="108">
        <f t="shared" si="27"/>
        <v>0.01</v>
      </c>
      <c r="K67" s="112">
        <f t="shared" si="28"/>
        <v>1</v>
      </c>
      <c r="L67" s="112"/>
      <c r="M67" s="149">
        <f t="shared" si="3"/>
        <v>0</v>
      </c>
      <c r="N67" s="152" t="str">
        <f t="shared" si="4"/>
        <v>Jul</v>
      </c>
      <c r="O67" s="155"/>
    </row>
    <row r="68" spans="1:15" ht="12.75">
      <c r="A68" s="92" t="s">
        <v>13</v>
      </c>
      <c r="B68" s="93" t="s">
        <v>115</v>
      </c>
      <c r="C68" s="99"/>
      <c r="D68" s="85">
        <f>MIN(IF(C68&lt;&gt;0,IF('Arrear_78.2'!A69='Arrear_78.2'!$E$4,'Arrear_78.2'!C68+INC1*2,'Arrear_78.2'!C68),1),OBPH1)</f>
        <v>1</v>
      </c>
      <c r="E68" s="85">
        <f>IF(C68=0,1,IF(C68="Y",IF(A68=N68,ROUNDUP(ROUND('Arrear_78.2'!C81*106%-0.01,0),-1),ROUNDUP(ROUND('Arrear_78.2'!C81*103%-0.01,0),-1)),C68))</f>
        <v>1</v>
      </c>
      <c r="F68" s="86">
        <v>0.01</v>
      </c>
      <c r="G68" s="87">
        <v>1</v>
      </c>
      <c r="H68" s="113"/>
      <c r="I68" s="85">
        <f>IF(C68=0,1,IF(C68="Y",IF(A68=N68,ROUNDUP(ROUND('Arrear_78.2'!L81*106%-0.01,0),-1),ROUNDUP(ROUND('Arrear_78.2'!L81*103%-0.01,0),-1)),ROUNDUP(ROUND(E68*1.05595-0.01,0),-1)))</f>
        <v>1</v>
      </c>
      <c r="J68" s="108">
        <f t="shared" si="27"/>
        <v>0.01</v>
      </c>
      <c r="K68" s="112">
        <f t="shared" si="28"/>
        <v>1</v>
      </c>
      <c r="L68" s="112"/>
      <c r="M68" s="149">
        <f t="shared" si="3"/>
        <v>0</v>
      </c>
      <c r="N68" s="152" t="str">
        <f t="shared" si="4"/>
        <v>Jul</v>
      </c>
      <c r="O68" s="155"/>
    </row>
    <row r="69" spans="1:15" ht="12.75">
      <c r="A69" s="92" t="s">
        <v>14</v>
      </c>
      <c r="B69" s="93" t="s">
        <v>115</v>
      </c>
      <c r="C69" s="99"/>
      <c r="D69" s="85">
        <f>MIN(IF(C69&lt;&gt;0,IF('Arrear_78.2'!A70='Arrear_78.2'!$E$4,'Arrear_78.2'!C69+INC1*2,'Arrear_78.2'!C69),1),OBPH1)</f>
        <v>1</v>
      </c>
      <c r="E69" s="85">
        <f>IF(C69=0,1,IF(C69="Y",IF(A69=N69,ROUNDUP(ROUND('Arrear_78.2'!C82*106%-0.01,0),-1),ROUNDUP(ROUND('Arrear_78.2'!C82*103%-0.01,0),-1)),C69))</f>
        <v>1</v>
      </c>
      <c r="F69" s="86">
        <v>0.01</v>
      </c>
      <c r="G69" s="87">
        <v>1</v>
      </c>
      <c r="H69" s="113"/>
      <c r="I69" s="85">
        <f>IF(C69=0,1,IF(C69="Y",IF(A69=N69,ROUNDUP(ROUND('Arrear_78.2'!L82*106%-0.01,0),-1),ROUNDUP(ROUND('Arrear_78.2'!L82*103%-0.01,0),-1)),ROUNDUP(ROUND(E69*1.05595-0.01,0),-1)))</f>
        <v>1</v>
      </c>
      <c r="J69" s="108">
        <f t="shared" si="27"/>
        <v>0.01</v>
      </c>
      <c r="K69" s="112">
        <f t="shared" si="28"/>
        <v>1</v>
      </c>
      <c r="L69" s="112"/>
      <c r="M69" s="149">
        <f t="shared" si="3"/>
        <v>0</v>
      </c>
      <c r="N69" s="152" t="str">
        <f t="shared" si="4"/>
        <v>Jul</v>
      </c>
      <c r="O69" s="155"/>
    </row>
    <row r="70" spans="1:15" ht="12.75">
      <c r="A70" s="92" t="s">
        <v>15</v>
      </c>
      <c r="B70" s="93" t="s">
        <v>115</v>
      </c>
      <c r="C70" s="99"/>
      <c r="D70" s="85">
        <f>MIN(IF(C70&lt;&gt;0,IF('Arrear_78.2'!A71='Arrear_78.2'!$E$4,'Arrear_78.2'!C70+INC1*2,'Arrear_78.2'!C70),1),OBPH1)</f>
        <v>1</v>
      </c>
      <c r="E70" s="85">
        <f>IF(C70=0,1,IF(C70="Y",IF(A70=N70,ROUNDUP(ROUND('Arrear_78.2'!C83*106%-0.01,0),-1),ROUNDUP(ROUND('Arrear_78.2'!C83*103%-0.01,0),-1)),C70))</f>
        <v>1</v>
      </c>
      <c r="F70" s="86">
        <v>0.01</v>
      </c>
      <c r="G70" s="87">
        <v>1</v>
      </c>
      <c r="H70" s="113"/>
      <c r="I70" s="85">
        <f>IF(C70=0,1,IF(C70="Y",IF(A70=N70,ROUNDUP(ROUND('Arrear_78.2'!L83*106%-0.01,0),-1),ROUNDUP(ROUND('Arrear_78.2'!L83*103%-0.01,0),-1)),ROUNDUP(ROUND(E70*1.05595-0.01,0),-1)))</f>
        <v>1</v>
      </c>
      <c r="J70" s="108">
        <f t="shared" si="27"/>
        <v>0.01</v>
      </c>
      <c r="K70" s="112">
        <f t="shared" si="28"/>
        <v>1</v>
      </c>
      <c r="L70" s="112"/>
      <c r="M70" s="149">
        <f t="shared" si="3"/>
        <v>0</v>
      </c>
      <c r="N70" s="152" t="str">
        <f t="shared" si="4"/>
        <v>Jul</v>
      </c>
      <c r="O70" s="155"/>
    </row>
    <row r="71" spans="1:15" ht="12.75">
      <c r="A71" s="92" t="s">
        <v>16</v>
      </c>
      <c r="B71" s="93" t="s">
        <v>115</v>
      </c>
      <c r="C71" s="99"/>
      <c r="D71" s="85">
        <f>MIN(IF(C71&lt;&gt;0,IF('Arrear_78.2'!A72='Arrear_78.2'!$E$4,'Arrear_78.2'!C71+INC1*2,'Arrear_78.2'!C71),1),OBPH1)</f>
        <v>1</v>
      </c>
      <c r="E71" s="85">
        <f>IF(C71=0,1,IF(C71="Y",IF(A71=N71,ROUNDUP(ROUND('Arrear_78.2'!C84*106%-0.01,0),-1),ROUNDUP(ROUND('Arrear_78.2'!C84*103%-0.01,0),-1)),C71))</f>
        <v>1</v>
      </c>
      <c r="F71" s="86">
        <v>0.01</v>
      </c>
      <c r="G71" s="87">
        <v>1</v>
      </c>
      <c r="H71" s="113"/>
      <c r="I71" s="85">
        <f>IF(C71=0,1,IF(C71="Y",IF(A71=N71,ROUNDUP(ROUND('Arrear_78.2'!L84*106%-0.01,0),-1),ROUNDUP(ROUND('Arrear_78.2'!L84*103%-0.01,0),-1)),ROUNDUP(ROUND(E71*1.05595-0.01,0),-1)))</f>
        <v>1</v>
      </c>
      <c r="J71" s="108">
        <f t="shared" si="27"/>
        <v>0.01</v>
      </c>
      <c r="K71" s="112">
        <f t="shared" si="28"/>
        <v>1</v>
      </c>
      <c r="L71" s="112"/>
      <c r="M71" s="149">
        <f t="shared" si="3"/>
        <v>0</v>
      </c>
      <c r="N71" s="152" t="str">
        <f t="shared" si="4"/>
        <v>Jul</v>
      </c>
      <c r="O71" s="155"/>
    </row>
    <row r="72" spans="1:15" ht="12.75">
      <c r="A72" s="92" t="s">
        <v>17</v>
      </c>
      <c r="B72" s="93" t="s">
        <v>115</v>
      </c>
      <c r="C72" s="99"/>
      <c r="D72" s="85">
        <f>MIN(IF(C72&lt;&gt;0,IF('Arrear_78.2'!A73='Arrear_78.2'!$E$4,'Arrear_78.2'!C72+INC1*2,'Arrear_78.2'!C72),1),OBPH1)</f>
        <v>1</v>
      </c>
      <c r="E72" s="85">
        <f>IF(C72=0,1,IF(C72="Y",IF(A72=N72,ROUNDUP(ROUND('Arrear_78.2'!C85*106%-0.01,0),-1),ROUNDUP(ROUND('Arrear_78.2'!C85*103%-0.01,0),-1)),C72))</f>
        <v>1</v>
      </c>
      <c r="F72" s="86">
        <v>0.01</v>
      </c>
      <c r="G72" s="87">
        <v>1</v>
      </c>
      <c r="H72" s="113"/>
      <c r="I72" s="85">
        <f>IF(C72=0,1,IF(C72="Y",IF(A72=N72,ROUNDUP(ROUND('Arrear_78.2'!L85*106%-0.01,0),-1),ROUNDUP(ROUND('Arrear_78.2'!L85*103%-0.01,0),-1)),ROUNDUP(ROUND(E72*1.05595-0.01,0),-1)))</f>
        <v>1</v>
      </c>
      <c r="J72" s="108">
        <f t="shared" si="27"/>
        <v>0.01</v>
      </c>
      <c r="K72" s="112">
        <f t="shared" si="28"/>
        <v>1</v>
      </c>
      <c r="L72" s="112"/>
      <c r="M72" s="149">
        <f t="shared" si="3"/>
        <v>0</v>
      </c>
      <c r="N72" s="152" t="str">
        <f t="shared" si="4"/>
        <v>Jul</v>
      </c>
      <c r="O72" s="155"/>
    </row>
    <row r="73" spans="1:15" ht="12.75">
      <c r="A73" s="92" t="s">
        <v>18</v>
      </c>
      <c r="B73" s="93" t="s">
        <v>115</v>
      </c>
      <c r="C73" s="99"/>
      <c r="D73" s="85">
        <f>MIN(IF(C73&lt;&gt;0,IF('Arrear_78.2'!A74='Arrear_78.2'!$E$4,'Arrear_78.2'!C73+INC1*2,'Arrear_78.2'!C73),1),OBPH1)</f>
        <v>1</v>
      </c>
      <c r="E73" s="85">
        <f>IF(C73=0,1,IF(C73="Y",IF(A73=N73,ROUNDUP(ROUND('Arrear_78.2'!C86*106%-0.01,0),-1),ROUNDUP(ROUND('Arrear_78.2'!C86*103%-0.01,0),-1)),C73))</f>
        <v>1</v>
      </c>
      <c r="F73" s="86">
        <v>0.01</v>
      </c>
      <c r="G73" s="87">
        <v>1</v>
      </c>
      <c r="H73" s="113"/>
      <c r="I73" s="85">
        <f>IF(C73=0,1,IF(C73="Y",IF(A73=N73,ROUNDUP(ROUND('Arrear_78.2'!L86*106%-0.01,0),-1),ROUNDUP(ROUND('Arrear_78.2'!L86*103%-0.01,0),-1)),ROUNDUP(ROUND(E73*1.05595-0.01,0),-1)))</f>
        <v>1</v>
      </c>
      <c r="J73" s="108">
        <f t="shared" si="27"/>
        <v>0.01</v>
      </c>
      <c r="K73" s="112">
        <f t="shared" si="28"/>
        <v>1</v>
      </c>
      <c r="L73" s="112"/>
      <c r="M73" s="149">
        <f t="shared" si="3"/>
        <v>0</v>
      </c>
      <c r="N73" s="152" t="str">
        <f t="shared" si="4"/>
        <v>Jul</v>
      </c>
      <c r="O73" s="155"/>
    </row>
    <row r="74" spans="1:15" ht="12.75">
      <c r="A74" s="92" t="s">
        <v>19</v>
      </c>
      <c r="B74" s="93" t="s">
        <v>115</v>
      </c>
      <c r="C74" s="99"/>
      <c r="D74" s="85">
        <f>MIN(IF(C74&lt;&gt;0,IF('Arrear_78.2'!A75='Arrear_78.2'!$E$4,'Arrear_78.2'!C74+INC1*2,'Arrear_78.2'!C74),1),OBPH1)</f>
        <v>1</v>
      </c>
      <c r="E74" s="85">
        <f>IF(C74=0,1,IF(C74="Y",IF(A74=N74,ROUNDUP(ROUND('Arrear_78.2'!C87*106%-0.01,0),-1),ROUNDUP(ROUND('Arrear_78.2'!C87*103%-0.01,0),-1)),C74))</f>
        <v>1</v>
      </c>
      <c r="F74" s="86">
        <v>0.01</v>
      </c>
      <c r="G74" s="87">
        <v>1</v>
      </c>
      <c r="H74" s="113"/>
      <c r="I74" s="85">
        <f>IF(C74=0,1,IF(C74="Y",IF(A74=N74,ROUNDUP(ROUND('Arrear_78.2'!L87*106%-0.01,0),-1),ROUNDUP(ROUND('Arrear_78.2'!L87*103%-0.01,0),-1)),ROUNDUP(ROUND(E74*1.05595-0.01,0),-1)))</f>
        <v>1</v>
      </c>
      <c r="J74" s="108">
        <f t="shared" si="27"/>
        <v>0.01</v>
      </c>
      <c r="K74" s="112">
        <f t="shared" si="28"/>
        <v>1</v>
      </c>
      <c r="L74" s="112"/>
      <c r="M74" s="149">
        <f aca="true" t="shared" si="32" ref="M74:M85">IF(C74=0,M73,M73+1)</f>
        <v>0</v>
      </c>
      <c r="N74" s="152" t="str">
        <f aca="true" t="shared" si="33" ref="N74:N85">IF(L74=0,N73,PROPER(LEFT(L74,3)))</f>
        <v>Jul</v>
      </c>
      <c r="O74" s="155"/>
    </row>
    <row r="75" spans="1:15" ht="12.75">
      <c r="A75" s="92" t="s">
        <v>20</v>
      </c>
      <c r="B75" s="93" t="s">
        <v>115</v>
      </c>
      <c r="C75" s="99"/>
      <c r="D75" s="85">
        <f>MIN(IF(C75&lt;&gt;0,IF('Arrear_78.2'!A76='Arrear_78.2'!$E$4,'Arrear_78.2'!C75+INC1*2,'Arrear_78.2'!C75),1),OBPH1)</f>
        <v>1</v>
      </c>
      <c r="E75" s="85">
        <f>IF(C75=0,1,IF(C75="Y",IF(A75=N75,ROUNDUP(ROUND('Arrear_78.2'!C88*106%-0.01,0),-1),ROUNDUP(ROUND('Arrear_78.2'!C88*103%-0.01,0),-1)),C75))</f>
        <v>1</v>
      </c>
      <c r="F75" s="86">
        <v>0.01</v>
      </c>
      <c r="G75" s="87">
        <v>1</v>
      </c>
      <c r="H75" s="113"/>
      <c r="I75" s="85">
        <f>IF(C75=0,1,IF(C75="Y",IF(A75=N75,ROUNDUP(ROUND('Arrear_78.2'!L88*106%-0.01,0),-1),ROUNDUP(ROUND('Arrear_78.2'!L88*103%-0.01,0),-1)),ROUNDUP(ROUND(E75*1.05595-0.01,0),-1)))</f>
        <v>1</v>
      </c>
      <c r="J75" s="108">
        <f t="shared" si="27"/>
        <v>0.01</v>
      </c>
      <c r="K75" s="112">
        <f t="shared" si="28"/>
        <v>1</v>
      </c>
      <c r="L75" s="112"/>
      <c r="M75" s="149">
        <f t="shared" si="32"/>
        <v>0</v>
      </c>
      <c r="N75" s="152" t="str">
        <f t="shared" si="33"/>
        <v>Jul</v>
      </c>
      <c r="O75" s="155"/>
    </row>
    <row r="76" spans="1:15" ht="12.75">
      <c r="A76" s="92" t="s">
        <v>21</v>
      </c>
      <c r="B76" s="93" t="s">
        <v>115</v>
      </c>
      <c r="C76" s="99"/>
      <c r="D76" s="85">
        <f>MIN(IF(C76&lt;&gt;0,IF('Arrear_78.2'!A77='Arrear_78.2'!$E$4,'Arrear_78.2'!C76+INC1*2,'Arrear_78.2'!C76),1),OBPH1)</f>
        <v>1</v>
      </c>
      <c r="E76" s="85">
        <f>IF(C76=0,1,IF(C76="Y",IF(A76=N76,ROUNDUP(ROUND('Arrear_78.2'!C89*106%-0.01,0),-1),ROUNDUP(ROUND('Arrear_78.2'!C89*103%-0.01,0),-1)),C76))</f>
        <v>1</v>
      </c>
      <c r="F76" s="86">
        <v>0.01</v>
      </c>
      <c r="G76" s="87">
        <v>1</v>
      </c>
      <c r="H76" s="113"/>
      <c r="I76" s="85">
        <f>IF(C76=0,1,IF(C76="Y",IF(A76=N76,ROUNDUP(ROUND('Arrear_78.2'!L89*106%-0.01,0),-1),ROUNDUP(ROUND('Arrear_78.2'!L89*103%-0.01,0),-1)),ROUNDUP(ROUND(E76*1.05595-0.01,0),-1)))</f>
        <v>1</v>
      </c>
      <c r="J76" s="108">
        <f t="shared" si="27"/>
        <v>0.01</v>
      </c>
      <c r="K76" s="112">
        <f t="shared" si="28"/>
        <v>1</v>
      </c>
      <c r="L76" s="112"/>
      <c r="M76" s="149">
        <f t="shared" si="32"/>
        <v>0</v>
      </c>
      <c r="N76" s="152" t="str">
        <f t="shared" si="33"/>
        <v>Jul</v>
      </c>
      <c r="O76" s="155"/>
    </row>
    <row r="77" spans="1:15" ht="12.75">
      <c r="A77" s="92" t="s">
        <v>1</v>
      </c>
      <c r="B77" s="93" t="s">
        <v>115</v>
      </c>
      <c r="C77" s="99"/>
      <c r="D77" s="85">
        <f>MIN(IF(C77&lt;&gt;0,IF('Arrear_78.2'!A78='Arrear_78.2'!$E$4,'Arrear_78.2'!C77+INC1*2,'Arrear_78.2'!C77),1),OBPH1)</f>
        <v>1</v>
      </c>
      <c r="E77" s="85">
        <f>IF(C77=0,1,IF(C77="Y",IF(A77=N77,ROUNDUP(ROUND('Arrear_78.2'!C90*106%-0.01,0),-1),ROUNDUP(ROUND('Arrear_78.2'!C90*103%-0.01,0),-1)),C77))</f>
        <v>1</v>
      </c>
      <c r="F77" s="86">
        <v>0.01</v>
      </c>
      <c r="G77" s="87">
        <v>1</v>
      </c>
      <c r="H77" s="113"/>
      <c r="I77" s="85">
        <f>IF(C77=0,1,IF(C77="Y",IF(A77=N77,ROUNDUP(ROUND('Arrear_78.2'!L90*106%-0.01,0),-1),ROUNDUP(ROUND('Arrear_78.2'!L90*103%-0.01,0),-1)),ROUNDUP(ROUND(E77*1.05595-0.01,0),-1)))</f>
        <v>1</v>
      </c>
      <c r="J77" s="108">
        <f t="shared" si="27"/>
        <v>0.01</v>
      </c>
      <c r="K77" s="112">
        <f t="shared" si="28"/>
        <v>1</v>
      </c>
      <c r="L77" s="112"/>
      <c r="M77" s="149">
        <f t="shared" si="32"/>
        <v>0</v>
      </c>
      <c r="N77" s="152" t="str">
        <f t="shared" si="33"/>
        <v>Jul</v>
      </c>
      <c r="O77" s="155"/>
    </row>
    <row r="78" spans="1:15" ht="12.75">
      <c r="A78" s="92" t="s">
        <v>11</v>
      </c>
      <c r="B78" s="93" t="s">
        <v>115</v>
      </c>
      <c r="C78" s="99"/>
      <c r="D78" s="85">
        <f>MIN(IF(C78&lt;&gt;0,IF('Arrear_78.2'!A79='Arrear_78.2'!$E$4,'Arrear_78.2'!C78+INC1*2,'Arrear_78.2'!C78),1),OBPH1)</f>
        <v>1</v>
      </c>
      <c r="E78" s="85">
        <f>IF(C78=0,1,IF(C78="Y",IF(A78=N78,ROUNDUP(ROUND('Arrear_78.2'!C91*106%-0.01,0),-1),ROUNDUP(ROUND('Arrear_78.2'!C91*103%-0.01,0),-1)),C78))</f>
        <v>1</v>
      </c>
      <c r="F78" s="86">
        <v>0.01</v>
      </c>
      <c r="G78" s="87">
        <v>1</v>
      </c>
      <c r="H78" s="113"/>
      <c r="I78" s="85">
        <f>IF(C78=0,1,IF(C78="Y",IF(A78=N78,ROUNDUP(ROUND('Arrear_78.2'!L91*106%-0.01,0),-1),ROUNDUP(ROUND('Arrear_78.2'!L91*103%-0.01,0),-1)),ROUNDUP(ROUND(E78*1.05595-0.01,0),-1)))</f>
        <v>1</v>
      </c>
      <c r="J78" s="108">
        <f t="shared" si="27"/>
        <v>0.01</v>
      </c>
      <c r="K78" s="112">
        <f t="shared" si="28"/>
        <v>1</v>
      </c>
      <c r="L78" s="112"/>
      <c r="M78" s="149">
        <f t="shared" si="32"/>
        <v>0</v>
      </c>
      <c r="N78" s="152" t="str">
        <f t="shared" si="33"/>
        <v>Jul</v>
      </c>
      <c r="O78" s="155"/>
    </row>
    <row r="79" spans="1:15" ht="12.75">
      <c r="A79" s="92" t="s">
        <v>12</v>
      </c>
      <c r="B79" s="93" t="s">
        <v>115</v>
      </c>
      <c r="C79" s="99"/>
      <c r="D79" s="85">
        <f>MIN(IF(C79&lt;&gt;0,IF('Arrear_78.2'!A80='Arrear_78.2'!$E$4,'Arrear_78.2'!C79+INC1*2,'Arrear_78.2'!C79),1),OBPH1)</f>
        <v>1</v>
      </c>
      <c r="E79" s="85">
        <f>IF(C79=0,1,IF(C79="Y",IF(A79=N79,ROUNDUP(ROUND('Arrear_78.2'!C92*106%-0.01,0),-1),ROUNDUP(ROUND('Arrear_78.2'!C92*103%-0.01,0),-1)),C79))</f>
        <v>1</v>
      </c>
      <c r="F79" s="86">
        <v>0.01</v>
      </c>
      <c r="G79" s="87">
        <v>1</v>
      </c>
      <c r="H79" s="113"/>
      <c r="I79" s="85">
        <f>IF(C79=0,1,IF(C79="Y",IF(A79=N79,ROUNDUP(ROUND('Arrear_78.2'!L92*106%-0.01,0),-1),ROUNDUP(ROUND('Arrear_78.2'!L92*103%-0.01,0),-1)),ROUNDUP(ROUND(E79*1.05595-0.01,0),-1)))</f>
        <v>1</v>
      </c>
      <c r="J79" s="108">
        <f t="shared" si="27"/>
        <v>0.01</v>
      </c>
      <c r="K79" s="112">
        <f t="shared" si="28"/>
        <v>1</v>
      </c>
      <c r="L79" s="112"/>
      <c r="M79" s="149">
        <f t="shared" si="32"/>
        <v>0</v>
      </c>
      <c r="N79" s="152" t="str">
        <f t="shared" si="33"/>
        <v>Jul</v>
      </c>
      <c r="O79" s="155"/>
    </row>
    <row r="80" spans="1:15" ht="12.75">
      <c r="A80" s="92" t="s">
        <v>13</v>
      </c>
      <c r="B80" s="93" t="s">
        <v>124</v>
      </c>
      <c r="C80" s="99"/>
      <c r="D80" s="85">
        <f>MIN(IF(C80&lt;&gt;0,IF('Arrear_78.2'!A81='Arrear_78.2'!$E$4,'Arrear_78.2'!C80+INC1*2,'Arrear_78.2'!C80),1),OBPH1)</f>
        <v>1</v>
      </c>
      <c r="E80" s="85">
        <f>IF(C80=0,1,IF(C80="Y",IF(A80=N80,ROUNDUP(ROUND('Arrear_78.2'!C93*106%-0.01,0),-1),ROUNDUP(ROUND('Arrear_78.2'!C93*103%-0.01,0),-1)),C80))</f>
        <v>1</v>
      </c>
      <c r="F80" s="86">
        <v>0.01</v>
      </c>
      <c r="G80" s="87">
        <v>1</v>
      </c>
      <c r="H80" s="113"/>
      <c r="I80" s="85">
        <f>IF(C80=0,1,IF(C80="Y",IF(A80=N80,ROUNDUP(ROUND('Arrear_78.2'!L93*106%-0.01,0),-1),ROUNDUP(ROUND('Arrear_78.2'!L93*103%-0.01,0),-1)),ROUNDUP(ROUND(E80*1.05595-0.01,0),-1)))</f>
        <v>1</v>
      </c>
      <c r="J80" s="108">
        <f t="shared" si="27"/>
        <v>0.01</v>
      </c>
      <c r="K80" s="112">
        <f t="shared" si="28"/>
        <v>1</v>
      </c>
      <c r="L80" s="112"/>
      <c r="M80" s="149">
        <f t="shared" si="32"/>
        <v>0</v>
      </c>
      <c r="N80" s="152" t="str">
        <f t="shared" si="33"/>
        <v>Jul</v>
      </c>
      <c r="O80" s="155"/>
    </row>
    <row r="81" spans="1:15" ht="12.75">
      <c r="A81" s="92" t="s">
        <v>14</v>
      </c>
      <c r="B81" s="93" t="s">
        <v>124</v>
      </c>
      <c r="C81" s="99"/>
      <c r="D81" s="85">
        <f>MIN(IF(C81&lt;&gt;0,IF('Arrear_78.2'!A82='Arrear_78.2'!$E$4,'Arrear_78.2'!C81+INC1*2,'Arrear_78.2'!C81),1),OBPH1)</f>
        <v>1</v>
      </c>
      <c r="E81" s="85">
        <f>IF(C81=0,1,IF(C81="Y",IF(A81=N81,ROUNDUP(ROUND('Arrear_78.2'!C94*106%-0.01,0),-1),ROUNDUP(ROUND('Arrear_78.2'!C94*103%-0.01,0),-1)),C81))</f>
        <v>1</v>
      </c>
      <c r="F81" s="86">
        <v>0.01</v>
      </c>
      <c r="G81" s="87">
        <v>1</v>
      </c>
      <c r="H81" s="113"/>
      <c r="I81" s="85">
        <f>IF(C81=0,1,IF(C81="Y",IF(A81=N81,ROUNDUP(ROUND('Arrear_78.2'!L94*106%-0.01,0),-1),ROUNDUP(ROUND('Arrear_78.2'!L94*103%-0.01,0),-1)),ROUNDUP(ROUND(E81*1.05595-0.01,0),-1)))</f>
        <v>1</v>
      </c>
      <c r="J81" s="108">
        <f t="shared" si="27"/>
        <v>0.01</v>
      </c>
      <c r="K81" s="112">
        <f t="shared" si="28"/>
        <v>1</v>
      </c>
      <c r="L81" s="112"/>
      <c r="M81" s="149">
        <f t="shared" si="32"/>
        <v>0</v>
      </c>
      <c r="N81" s="152" t="str">
        <f t="shared" si="33"/>
        <v>Jul</v>
      </c>
      <c r="O81" s="155"/>
    </row>
    <row r="82" spans="1:15" ht="12.75">
      <c r="A82" s="92" t="s">
        <v>15</v>
      </c>
      <c r="B82" s="93" t="s">
        <v>124</v>
      </c>
      <c r="C82" s="99"/>
      <c r="D82" s="85">
        <f>MIN(IF(C82&lt;&gt;0,IF('Arrear_78.2'!A83='Arrear_78.2'!$E$4,'Arrear_78.2'!C82+INC1*2,'Arrear_78.2'!C82),1),OBPH1)</f>
        <v>1</v>
      </c>
      <c r="E82" s="85">
        <f>IF(C82=0,1,IF(C82="Y",IF(A82=N82,ROUNDUP(ROUND('Arrear_78.2'!C95*106%-0.01,0),-1),ROUNDUP(ROUND('Arrear_78.2'!C95*103%-0.01,0),-1)),C82))</f>
        <v>1</v>
      </c>
      <c r="F82" s="86">
        <v>0.01</v>
      </c>
      <c r="G82" s="87">
        <v>1</v>
      </c>
      <c r="H82" s="113"/>
      <c r="I82" s="85">
        <f>IF(C82=0,1,IF(C82="Y",IF(A82=N82,ROUNDUP(ROUND('Arrear_78.2'!L95*106%-0.01,0),-1),ROUNDUP(ROUND('Arrear_78.2'!L95*103%-0.01,0),-1)),ROUNDUP(ROUND(E82*1.05595-0.01,0),-1)))</f>
        <v>1</v>
      </c>
      <c r="J82" s="108">
        <f t="shared" si="27"/>
        <v>0.01</v>
      </c>
      <c r="K82" s="112">
        <f t="shared" si="28"/>
        <v>1</v>
      </c>
      <c r="L82" s="112"/>
      <c r="M82" s="149">
        <f t="shared" si="32"/>
        <v>0</v>
      </c>
      <c r="N82" s="152" t="str">
        <f t="shared" si="33"/>
        <v>Jul</v>
      </c>
      <c r="O82" s="155"/>
    </row>
    <row r="83" spans="1:15" ht="12.75">
      <c r="A83" s="92" t="s">
        <v>16</v>
      </c>
      <c r="B83" s="93" t="s">
        <v>124</v>
      </c>
      <c r="C83" s="99"/>
      <c r="D83" s="85">
        <f>MIN(IF(C83&lt;&gt;0,IF('Arrear_78.2'!A84='Arrear_78.2'!$E$4,'Arrear_78.2'!C83+INC1*2,'Arrear_78.2'!C83),1),OBPH1)</f>
        <v>1</v>
      </c>
      <c r="E83" s="85">
        <f>IF(C83=0,1,IF(C83="Y",IF(A83=N83,ROUNDUP(ROUND('Arrear_78.2'!C96*106%-0.01,0),-1),ROUNDUP(ROUND('Arrear_78.2'!C96*103%-0.01,0),-1)),C83))</f>
        <v>1</v>
      </c>
      <c r="F83" s="86">
        <v>0.01</v>
      </c>
      <c r="G83" s="87">
        <v>1</v>
      </c>
      <c r="H83" s="113"/>
      <c r="I83" s="85">
        <f>IF(C83=0,1,IF(C83="Y",IF(A83=N83,ROUNDUP(ROUND('Arrear_78.2'!L96*106%-0.01,0),-1),ROUNDUP(ROUND('Arrear_78.2'!L96*103%-0.01,0),-1)),ROUNDUP(ROUND(E83*1.05595-0.01,0),-1)))</f>
        <v>1</v>
      </c>
      <c r="J83" s="108">
        <f t="shared" si="27"/>
        <v>0.01</v>
      </c>
      <c r="K83" s="112">
        <f t="shared" si="28"/>
        <v>1</v>
      </c>
      <c r="L83" s="112"/>
      <c r="M83" s="149">
        <f t="shared" si="32"/>
        <v>0</v>
      </c>
      <c r="N83" s="152" t="str">
        <f t="shared" si="33"/>
        <v>Jul</v>
      </c>
      <c r="O83" s="155"/>
    </row>
    <row r="84" spans="1:15" ht="12.75">
      <c r="A84" s="92" t="s">
        <v>17</v>
      </c>
      <c r="B84" s="93" t="s">
        <v>124</v>
      </c>
      <c r="C84" s="99"/>
      <c r="D84" s="85">
        <f>MIN(IF(C84&lt;&gt;0,IF('Arrear_78.2'!A85='Arrear_78.2'!$E$4,'Arrear_78.2'!C84+INC1*2,'Arrear_78.2'!C84),1),OBPH1)</f>
        <v>1</v>
      </c>
      <c r="E84" s="85">
        <f>IF(C84=0,1,IF(C84="Y",IF(A84=N84,ROUNDUP(ROUND('Arrear_78.2'!C97*106%-0.01,0),-1),ROUNDUP(ROUND('Arrear_78.2'!C97*103%-0.01,0),-1)),C84))</f>
        <v>1</v>
      </c>
      <c r="F84" s="86">
        <v>0.01</v>
      </c>
      <c r="G84" s="87">
        <v>1</v>
      </c>
      <c r="H84" s="113"/>
      <c r="I84" s="85">
        <f>IF(C84=0,1,IF(C84="Y",IF(A84=N84,ROUNDUP(ROUND('Arrear_78.2'!L97*106%-0.01,0),-1),ROUNDUP(ROUND('Arrear_78.2'!L97*103%-0.01,0),-1)),ROUNDUP(ROUND(E84*1.05595-0.01,0),-1)))</f>
        <v>1</v>
      </c>
      <c r="J84" s="108">
        <f t="shared" si="27"/>
        <v>0.01</v>
      </c>
      <c r="K84" s="112">
        <f t="shared" si="28"/>
        <v>1</v>
      </c>
      <c r="L84" s="112"/>
      <c r="M84" s="149">
        <f t="shared" si="32"/>
        <v>0</v>
      </c>
      <c r="N84" s="152" t="str">
        <f t="shared" si="33"/>
        <v>Jul</v>
      </c>
      <c r="O84" s="155"/>
    </row>
    <row r="85" spans="1:15" ht="12.75">
      <c r="A85" s="101" t="s">
        <v>18</v>
      </c>
      <c r="B85" s="102" t="s">
        <v>124</v>
      </c>
      <c r="C85" s="139"/>
      <c r="D85" s="103">
        <f>MIN(IF(C85&lt;&gt;0,IF('Arrear_78.2'!A86='Arrear_78.2'!$E$4,'Arrear_78.2'!C85+INC1*2,'Arrear_78.2'!C85),1),OBPH1)</f>
        <v>1</v>
      </c>
      <c r="E85" s="103">
        <f>IF(C85=0,1,IF(C85="Y",IF(A85=N85,ROUNDUP(ROUND('Arrear_78.2'!C98*106%-0.01,0),-1),ROUNDUP(ROUND('Arrear_78.2'!C98*103%-0.01,0),-1)),C85))</f>
        <v>1</v>
      </c>
      <c r="F85" s="104">
        <v>0.01</v>
      </c>
      <c r="G85" s="105">
        <v>1</v>
      </c>
      <c r="H85" s="126"/>
      <c r="I85" s="103">
        <f>IF(C85=0,1,IF(C85="Y",IF(A85=N85,ROUNDUP(ROUND('Arrear_78.2'!L98*106%-0.01,0),-1),ROUNDUP(ROUND('Arrear_78.2'!L98*103%-0.01,0),-1)),ROUNDUP(ROUND(E85*1.05595-0.01,0),-1)))</f>
        <v>1</v>
      </c>
      <c r="J85" s="108">
        <f t="shared" si="27"/>
        <v>0.01</v>
      </c>
      <c r="K85" s="112">
        <f t="shared" si="28"/>
        <v>1</v>
      </c>
      <c r="L85" s="147"/>
      <c r="M85" s="150">
        <f t="shared" si="32"/>
        <v>0</v>
      </c>
      <c r="N85" s="152" t="str">
        <f t="shared" si="33"/>
        <v>Jul</v>
      </c>
      <c r="O85" s="155"/>
    </row>
    <row r="86" spans="1:12" ht="12.75">
      <c r="A86" s="114"/>
      <c r="B86" s="114"/>
      <c r="C86" s="115"/>
      <c r="D86" s="115"/>
      <c r="E86" s="114"/>
      <c r="F86" s="114"/>
      <c r="G86" s="114"/>
      <c r="H86" s="115"/>
      <c r="I86" s="114"/>
      <c r="J86" s="114"/>
      <c r="K86" s="114"/>
      <c r="L86" s="114"/>
    </row>
    <row r="87" spans="1:12" ht="12.75">
      <c r="A87" s="114" t="s">
        <v>117</v>
      </c>
      <c r="B87" s="116" t="s">
        <v>121</v>
      </c>
      <c r="C87" s="115"/>
      <c r="D87" s="115"/>
      <c r="E87" s="114"/>
      <c r="F87" s="114"/>
      <c r="G87" s="114"/>
      <c r="H87" s="115"/>
      <c r="I87" s="114"/>
      <c r="J87" s="114"/>
      <c r="K87" s="114"/>
      <c r="L87" s="114"/>
    </row>
    <row r="88" spans="1:12" ht="12.75">
      <c r="A88" s="114"/>
      <c r="B88" s="116" t="s">
        <v>123</v>
      </c>
      <c r="C88" s="115"/>
      <c r="D88" s="115"/>
      <c r="E88" s="114"/>
      <c r="F88" s="114"/>
      <c r="G88" s="114"/>
      <c r="H88" s="115"/>
      <c r="I88" s="114"/>
      <c r="J88" s="114"/>
      <c r="K88" s="114"/>
      <c r="L88" s="114"/>
    </row>
  </sheetData>
  <sheetProtection password="C784" sheet="1" selectLockedCells="1"/>
  <mergeCells count="6">
    <mergeCell ref="E6:F6"/>
    <mergeCell ref="B6:B7"/>
    <mergeCell ref="A6:A7"/>
    <mergeCell ref="M6:M7"/>
    <mergeCell ref="L6:L7"/>
    <mergeCell ref="N6:N7"/>
  </mergeCells>
  <printOptions horizontalCentered="1"/>
  <pageMargins left="0.25" right="0.25" top="1" bottom="1" header="0.5" footer="0.5"/>
  <pageSetup horizontalDpi="300" verticalDpi="300" orientation="landscape" paperSize="9" scale="7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40" sqref="A40"/>
    </sheetView>
  </sheetViews>
  <sheetFormatPr defaultColWidth="9.140625" defaultRowHeight="12.75"/>
  <sheetData>
    <row r="1" spans="1:24" ht="12.75">
      <c r="A1" s="5" t="s">
        <v>86</v>
      </c>
      <c r="B1">
        <v>9850</v>
      </c>
      <c r="C1">
        <f>B1+250</f>
        <v>10100</v>
      </c>
      <c r="D1">
        <f aca="true" t="shared" si="0" ref="D1:K1">C1+250</f>
        <v>10350</v>
      </c>
      <c r="E1">
        <f t="shared" si="0"/>
        <v>10600</v>
      </c>
      <c r="F1">
        <f t="shared" si="0"/>
        <v>10850</v>
      </c>
      <c r="G1">
        <f t="shared" si="0"/>
        <v>11100</v>
      </c>
      <c r="H1">
        <f t="shared" si="0"/>
        <v>11350</v>
      </c>
      <c r="I1">
        <f t="shared" si="0"/>
        <v>11600</v>
      </c>
      <c r="J1">
        <f t="shared" si="0"/>
        <v>11850</v>
      </c>
      <c r="K1">
        <f t="shared" si="0"/>
        <v>12100</v>
      </c>
      <c r="L1">
        <f>K1+250</f>
        <v>12350</v>
      </c>
      <c r="M1">
        <f>L1+250</f>
        <v>12600</v>
      </c>
      <c r="N1">
        <f>M1+250</f>
        <v>12850</v>
      </c>
      <c r="O1">
        <f>N1+250</f>
        <v>13100</v>
      </c>
      <c r="P1">
        <f>O1+250</f>
        <v>13350</v>
      </c>
      <c r="Q1">
        <f aca="true" t="shared" si="1" ref="Q1:X1">P1+250</f>
        <v>13600</v>
      </c>
      <c r="R1">
        <f t="shared" si="1"/>
        <v>13850</v>
      </c>
      <c r="S1">
        <f t="shared" si="1"/>
        <v>14100</v>
      </c>
      <c r="T1">
        <f t="shared" si="1"/>
        <v>14350</v>
      </c>
      <c r="U1">
        <f t="shared" si="1"/>
        <v>14600</v>
      </c>
      <c r="V1">
        <f t="shared" si="1"/>
        <v>14850</v>
      </c>
      <c r="W1">
        <f t="shared" si="1"/>
        <v>15100</v>
      </c>
      <c r="X1">
        <f t="shared" si="1"/>
        <v>15350</v>
      </c>
    </row>
    <row r="2" spans="1:23" ht="12.75">
      <c r="A2" s="5" t="s">
        <v>87</v>
      </c>
      <c r="B2">
        <v>11875</v>
      </c>
      <c r="C2">
        <f>B2+300</f>
        <v>12175</v>
      </c>
      <c r="D2">
        <f aca="true" t="shared" si="2" ref="D2:K2">C2+300</f>
        <v>12475</v>
      </c>
      <c r="E2">
        <f t="shared" si="2"/>
        <v>12775</v>
      </c>
      <c r="F2">
        <f t="shared" si="2"/>
        <v>13075</v>
      </c>
      <c r="G2">
        <f t="shared" si="2"/>
        <v>13375</v>
      </c>
      <c r="H2">
        <f t="shared" si="2"/>
        <v>13675</v>
      </c>
      <c r="I2">
        <f t="shared" si="2"/>
        <v>13975</v>
      </c>
      <c r="J2">
        <f t="shared" si="2"/>
        <v>14275</v>
      </c>
      <c r="K2">
        <f t="shared" si="2"/>
        <v>14575</v>
      </c>
      <c r="L2">
        <f>K2+300</f>
        <v>14875</v>
      </c>
      <c r="M2">
        <f>L2+300</f>
        <v>15175</v>
      </c>
      <c r="N2">
        <f>M2+300</f>
        <v>15475</v>
      </c>
      <c r="O2">
        <f>N2+300</f>
        <v>15775</v>
      </c>
      <c r="P2">
        <f>O2+300</f>
        <v>16075</v>
      </c>
      <c r="Q2">
        <f aca="true" t="shared" si="3" ref="Q2:W2">P2+300</f>
        <v>16375</v>
      </c>
      <c r="R2">
        <f t="shared" si="3"/>
        <v>16675</v>
      </c>
      <c r="S2">
        <f t="shared" si="3"/>
        <v>16975</v>
      </c>
      <c r="T2">
        <f t="shared" si="3"/>
        <v>17275</v>
      </c>
      <c r="U2">
        <f t="shared" si="3"/>
        <v>17575</v>
      </c>
      <c r="V2">
        <f t="shared" si="3"/>
        <v>17875</v>
      </c>
      <c r="W2">
        <f t="shared" si="3"/>
        <v>18175</v>
      </c>
    </row>
    <row r="3" spans="1:20" ht="12.75">
      <c r="A3" s="5" t="s">
        <v>88</v>
      </c>
      <c r="B3">
        <v>13000</v>
      </c>
      <c r="C3">
        <f>B3+350</f>
        <v>13350</v>
      </c>
      <c r="D3">
        <f aca="true" t="shared" si="4" ref="D3:T4">C3+350</f>
        <v>13700</v>
      </c>
      <c r="E3">
        <f t="shared" si="4"/>
        <v>14050</v>
      </c>
      <c r="F3">
        <f t="shared" si="4"/>
        <v>14400</v>
      </c>
      <c r="G3">
        <f t="shared" si="4"/>
        <v>14750</v>
      </c>
      <c r="H3">
        <f t="shared" si="4"/>
        <v>15100</v>
      </c>
      <c r="I3">
        <f t="shared" si="4"/>
        <v>15450</v>
      </c>
      <c r="J3">
        <f t="shared" si="4"/>
        <v>15800</v>
      </c>
      <c r="K3">
        <f t="shared" si="4"/>
        <v>16150</v>
      </c>
      <c r="L3">
        <f t="shared" si="4"/>
        <v>16500</v>
      </c>
      <c r="M3">
        <f t="shared" si="4"/>
        <v>16850</v>
      </c>
      <c r="N3">
        <f t="shared" si="4"/>
        <v>17200</v>
      </c>
      <c r="O3">
        <f t="shared" si="4"/>
        <v>17550</v>
      </c>
      <c r="P3">
        <f t="shared" si="4"/>
        <v>17900</v>
      </c>
      <c r="Q3">
        <f t="shared" si="4"/>
        <v>18250</v>
      </c>
      <c r="R3">
        <f t="shared" si="4"/>
        <v>18600</v>
      </c>
      <c r="S3">
        <f t="shared" si="4"/>
        <v>18950</v>
      </c>
      <c r="T3">
        <f t="shared" si="4"/>
        <v>19300</v>
      </c>
    </row>
    <row r="4" spans="1:17" ht="12.75">
      <c r="A4" s="5" t="s">
        <v>89</v>
      </c>
      <c r="B4">
        <v>14500</v>
      </c>
      <c r="C4">
        <f>B4+350</f>
        <v>14850</v>
      </c>
      <c r="D4">
        <f t="shared" si="4"/>
        <v>15200</v>
      </c>
      <c r="E4">
        <f t="shared" si="4"/>
        <v>15550</v>
      </c>
      <c r="F4">
        <f t="shared" si="4"/>
        <v>15900</v>
      </c>
      <c r="G4">
        <f t="shared" si="4"/>
        <v>16250</v>
      </c>
      <c r="H4">
        <f t="shared" si="4"/>
        <v>16600</v>
      </c>
      <c r="I4">
        <f t="shared" si="4"/>
        <v>16950</v>
      </c>
      <c r="J4">
        <f t="shared" si="4"/>
        <v>17300</v>
      </c>
      <c r="K4">
        <f t="shared" si="4"/>
        <v>17650</v>
      </c>
      <c r="L4">
        <f aca="true" t="shared" si="5" ref="L4:Q4">K4+350</f>
        <v>18000</v>
      </c>
      <c r="M4">
        <f t="shared" si="5"/>
        <v>18350</v>
      </c>
      <c r="N4">
        <f t="shared" si="5"/>
        <v>18700</v>
      </c>
      <c r="O4">
        <f t="shared" si="5"/>
        <v>19050</v>
      </c>
      <c r="P4">
        <f t="shared" si="5"/>
        <v>19400</v>
      </c>
      <c r="Q4">
        <f t="shared" si="5"/>
        <v>19750</v>
      </c>
    </row>
    <row r="5" spans="1:17" ht="12.75">
      <c r="A5" s="5" t="s">
        <v>90</v>
      </c>
      <c r="B5">
        <v>16000</v>
      </c>
      <c r="C5">
        <f>B5+400</f>
        <v>16400</v>
      </c>
      <c r="D5">
        <f aca="true" t="shared" si="6" ref="D5:K6">C5+400</f>
        <v>16800</v>
      </c>
      <c r="E5">
        <f t="shared" si="6"/>
        <v>17200</v>
      </c>
      <c r="F5">
        <f t="shared" si="6"/>
        <v>17600</v>
      </c>
      <c r="G5">
        <f t="shared" si="6"/>
        <v>18000</v>
      </c>
      <c r="H5">
        <f t="shared" si="6"/>
        <v>18400</v>
      </c>
      <c r="I5">
        <f t="shared" si="6"/>
        <v>18800</v>
      </c>
      <c r="J5">
        <f t="shared" si="6"/>
        <v>19200</v>
      </c>
      <c r="K5">
        <f t="shared" si="6"/>
        <v>19600</v>
      </c>
      <c r="L5">
        <f aca="true" t="shared" si="7" ref="L5:Q6">K5+400</f>
        <v>20000</v>
      </c>
      <c r="M5">
        <f t="shared" si="7"/>
        <v>20400</v>
      </c>
      <c r="N5">
        <f t="shared" si="7"/>
        <v>20800</v>
      </c>
      <c r="O5">
        <f t="shared" si="7"/>
        <v>21200</v>
      </c>
      <c r="P5">
        <f t="shared" si="7"/>
        <v>21600</v>
      </c>
      <c r="Q5">
        <f t="shared" si="7"/>
        <v>22000</v>
      </c>
    </row>
    <row r="6" spans="1:17" ht="12.75">
      <c r="A6" s="5" t="s">
        <v>91</v>
      </c>
      <c r="B6">
        <v>17500</v>
      </c>
      <c r="C6">
        <f>B6+400</f>
        <v>17900</v>
      </c>
      <c r="D6">
        <f>C6+400</f>
        <v>18300</v>
      </c>
      <c r="E6">
        <f t="shared" si="6"/>
        <v>18700</v>
      </c>
      <c r="F6">
        <f t="shared" si="6"/>
        <v>19100</v>
      </c>
      <c r="G6">
        <f t="shared" si="6"/>
        <v>19500</v>
      </c>
      <c r="H6">
        <f t="shared" si="6"/>
        <v>19900</v>
      </c>
      <c r="I6">
        <f t="shared" si="6"/>
        <v>20300</v>
      </c>
      <c r="J6">
        <f t="shared" si="6"/>
        <v>20700</v>
      </c>
      <c r="K6">
        <f t="shared" si="6"/>
        <v>21100</v>
      </c>
      <c r="L6">
        <f t="shared" si="7"/>
        <v>21500</v>
      </c>
      <c r="M6">
        <f t="shared" si="7"/>
        <v>21900</v>
      </c>
      <c r="N6">
        <f t="shared" si="7"/>
        <v>22300</v>
      </c>
      <c r="O6">
        <f t="shared" si="7"/>
        <v>22700</v>
      </c>
      <c r="P6">
        <f t="shared" si="7"/>
        <v>23100</v>
      </c>
      <c r="Q6">
        <f t="shared" si="7"/>
        <v>23500</v>
      </c>
    </row>
    <row r="7" spans="1:17" ht="12.75">
      <c r="A7" s="6" t="s">
        <v>92</v>
      </c>
      <c r="B7">
        <v>18500</v>
      </c>
      <c r="C7">
        <f>B7+450</f>
        <v>18950</v>
      </c>
      <c r="D7">
        <f>C7+450</f>
        <v>19400</v>
      </c>
      <c r="E7">
        <f aca="true" t="shared" si="8" ref="E7:Q7">D7+450</f>
        <v>19850</v>
      </c>
      <c r="F7">
        <f t="shared" si="8"/>
        <v>20300</v>
      </c>
      <c r="G7">
        <f t="shared" si="8"/>
        <v>20750</v>
      </c>
      <c r="H7">
        <f t="shared" si="8"/>
        <v>21200</v>
      </c>
      <c r="I7">
        <f t="shared" si="8"/>
        <v>21650</v>
      </c>
      <c r="J7">
        <f t="shared" si="8"/>
        <v>22100</v>
      </c>
      <c r="K7">
        <f t="shared" si="8"/>
        <v>22550</v>
      </c>
      <c r="L7">
        <f t="shared" si="8"/>
        <v>23000</v>
      </c>
      <c r="M7">
        <f t="shared" si="8"/>
        <v>23450</v>
      </c>
      <c r="N7">
        <f t="shared" si="8"/>
        <v>23900</v>
      </c>
      <c r="O7">
        <f t="shared" si="8"/>
        <v>24350</v>
      </c>
      <c r="P7">
        <f t="shared" si="8"/>
        <v>24800</v>
      </c>
      <c r="Q7">
        <f t="shared" si="8"/>
        <v>25250</v>
      </c>
    </row>
    <row r="8" spans="1:13" ht="12.75">
      <c r="A8" s="6" t="s">
        <v>93</v>
      </c>
      <c r="B8">
        <v>23750</v>
      </c>
      <c r="C8">
        <f>B8+600</f>
        <v>24350</v>
      </c>
      <c r="D8">
        <f>C8+600</f>
        <v>24950</v>
      </c>
      <c r="E8">
        <f aca="true" t="shared" si="9" ref="E8:M8">D8+600</f>
        <v>25550</v>
      </c>
      <c r="F8">
        <f t="shared" si="9"/>
        <v>26150</v>
      </c>
      <c r="G8">
        <f t="shared" si="9"/>
        <v>26750</v>
      </c>
      <c r="H8">
        <f t="shared" si="9"/>
        <v>27350</v>
      </c>
      <c r="I8">
        <f t="shared" si="9"/>
        <v>27950</v>
      </c>
      <c r="J8">
        <f t="shared" si="9"/>
        <v>28550</v>
      </c>
      <c r="K8">
        <f t="shared" si="9"/>
        <v>29150</v>
      </c>
      <c r="L8">
        <f t="shared" si="9"/>
        <v>29750</v>
      </c>
      <c r="M8">
        <f t="shared" si="9"/>
        <v>30350</v>
      </c>
    </row>
    <row r="9" spans="1:13" ht="12.75">
      <c r="A9" s="6" t="s">
        <v>94</v>
      </c>
      <c r="B9">
        <v>25000</v>
      </c>
      <c r="C9">
        <f>B9+650</f>
        <v>25650</v>
      </c>
      <c r="D9">
        <f aca="true" t="shared" si="10" ref="D9:M9">C9+650</f>
        <v>26300</v>
      </c>
      <c r="E9">
        <f t="shared" si="10"/>
        <v>26950</v>
      </c>
      <c r="F9">
        <f t="shared" si="10"/>
        <v>27600</v>
      </c>
      <c r="G9">
        <f t="shared" si="10"/>
        <v>28250</v>
      </c>
      <c r="H9">
        <f t="shared" si="10"/>
        <v>28900</v>
      </c>
      <c r="I9">
        <f t="shared" si="10"/>
        <v>29550</v>
      </c>
      <c r="J9">
        <f t="shared" si="10"/>
        <v>30200</v>
      </c>
      <c r="K9">
        <f t="shared" si="10"/>
        <v>30850</v>
      </c>
      <c r="L9">
        <f t="shared" si="10"/>
        <v>31500</v>
      </c>
      <c r="M9">
        <f t="shared" si="10"/>
        <v>32150</v>
      </c>
    </row>
    <row r="10" spans="1:13" ht="12.75">
      <c r="A10" s="6" t="s">
        <v>95</v>
      </c>
      <c r="B10">
        <v>25750</v>
      </c>
      <c r="C10">
        <f>B10+650</f>
        <v>26400</v>
      </c>
      <c r="D10">
        <f aca="true" t="shared" si="11" ref="D10:M10">C10+650</f>
        <v>27050</v>
      </c>
      <c r="E10">
        <f t="shared" si="11"/>
        <v>27700</v>
      </c>
      <c r="F10">
        <f t="shared" si="11"/>
        <v>28350</v>
      </c>
      <c r="G10">
        <f t="shared" si="11"/>
        <v>29000</v>
      </c>
      <c r="H10">
        <f t="shared" si="11"/>
        <v>29650</v>
      </c>
      <c r="I10">
        <f t="shared" si="11"/>
        <v>30300</v>
      </c>
      <c r="J10">
        <f t="shared" si="11"/>
        <v>30950</v>
      </c>
      <c r="K10">
        <f t="shared" si="11"/>
        <v>31600</v>
      </c>
      <c r="L10">
        <f t="shared" si="11"/>
        <v>32250</v>
      </c>
      <c r="M10">
        <f t="shared" si="11"/>
        <v>32900</v>
      </c>
    </row>
    <row r="11" spans="1:10" ht="12.75">
      <c r="A11" s="6" t="s">
        <v>96</v>
      </c>
      <c r="B11">
        <v>27750</v>
      </c>
      <c r="C11">
        <f>B11+750</f>
        <v>28500</v>
      </c>
      <c r="D11">
        <f aca="true" t="shared" si="12" ref="D11:J11">C11+750</f>
        <v>29250</v>
      </c>
      <c r="E11">
        <f t="shared" si="12"/>
        <v>30000</v>
      </c>
      <c r="F11">
        <f t="shared" si="12"/>
        <v>30750</v>
      </c>
      <c r="G11">
        <f t="shared" si="12"/>
        <v>31500</v>
      </c>
      <c r="H11">
        <f t="shared" si="12"/>
        <v>32250</v>
      </c>
      <c r="I11">
        <f t="shared" si="12"/>
        <v>33000</v>
      </c>
      <c r="J11">
        <f t="shared" si="12"/>
        <v>33750</v>
      </c>
    </row>
    <row r="13" spans="1:7" ht="12.75">
      <c r="A13" t="s">
        <v>98</v>
      </c>
      <c r="B13" t="s">
        <v>99</v>
      </c>
      <c r="C13" t="s">
        <v>105</v>
      </c>
      <c r="D13" t="s">
        <v>106</v>
      </c>
      <c r="E13" t="s">
        <v>107</v>
      </c>
      <c r="F13" t="s">
        <v>100</v>
      </c>
      <c r="G13" t="s">
        <v>97</v>
      </c>
    </row>
    <row r="20" spans="1:13" ht="12.75">
      <c r="A20">
        <v>9850</v>
      </c>
      <c r="B20">
        <v>11875</v>
      </c>
      <c r="C20">
        <v>13000</v>
      </c>
      <c r="D20">
        <v>14500</v>
      </c>
      <c r="E20">
        <v>16000</v>
      </c>
      <c r="F20">
        <v>17500</v>
      </c>
      <c r="G20">
        <v>18500</v>
      </c>
      <c r="H20">
        <v>23750</v>
      </c>
      <c r="I20">
        <v>25000</v>
      </c>
      <c r="J20">
        <v>25750</v>
      </c>
      <c r="K20">
        <v>27750</v>
      </c>
      <c r="M20" t="s">
        <v>99</v>
      </c>
    </row>
    <row r="21" spans="1:13" ht="12.75">
      <c r="A21">
        <v>10100</v>
      </c>
      <c r="B21">
        <v>12175</v>
      </c>
      <c r="C21">
        <v>13350</v>
      </c>
      <c r="D21">
        <v>14850</v>
      </c>
      <c r="E21">
        <v>16400</v>
      </c>
      <c r="F21">
        <v>17900</v>
      </c>
      <c r="G21">
        <v>18950</v>
      </c>
      <c r="H21">
        <v>24350</v>
      </c>
      <c r="I21">
        <v>25650</v>
      </c>
      <c r="J21">
        <v>26400</v>
      </c>
      <c r="K21">
        <v>28500</v>
      </c>
      <c r="M21" t="s">
        <v>105</v>
      </c>
    </row>
    <row r="22" spans="1:13" ht="12.75">
      <c r="A22">
        <v>10350</v>
      </c>
      <c r="B22">
        <v>12475</v>
      </c>
      <c r="C22">
        <v>13700</v>
      </c>
      <c r="D22">
        <v>15200</v>
      </c>
      <c r="E22">
        <v>16800</v>
      </c>
      <c r="F22">
        <v>18300</v>
      </c>
      <c r="G22">
        <v>19400</v>
      </c>
      <c r="H22">
        <v>24950</v>
      </c>
      <c r="I22">
        <v>26300</v>
      </c>
      <c r="J22">
        <v>27050</v>
      </c>
      <c r="K22">
        <v>29250</v>
      </c>
      <c r="M22" t="s">
        <v>106</v>
      </c>
    </row>
    <row r="23" spans="1:13" ht="12.75">
      <c r="A23">
        <v>10600</v>
      </c>
      <c r="B23">
        <v>12775</v>
      </c>
      <c r="C23">
        <v>14050</v>
      </c>
      <c r="D23">
        <v>15550</v>
      </c>
      <c r="E23">
        <v>17200</v>
      </c>
      <c r="F23">
        <v>18700</v>
      </c>
      <c r="G23">
        <v>19850</v>
      </c>
      <c r="H23">
        <v>25550</v>
      </c>
      <c r="I23">
        <v>26950</v>
      </c>
      <c r="J23">
        <v>27700</v>
      </c>
      <c r="K23">
        <v>30000</v>
      </c>
      <c r="M23" t="s">
        <v>107</v>
      </c>
    </row>
    <row r="24" spans="1:13" ht="12.75">
      <c r="A24">
        <v>10850</v>
      </c>
      <c r="B24">
        <v>13075</v>
      </c>
      <c r="C24">
        <v>14400</v>
      </c>
      <c r="D24">
        <v>15900</v>
      </c>
      <c r="E24">
        <v>17600</v>
      </c>
      <c r="F24">
        <v>19100</v>
      </c>
      <c r="G24">
        <v>20300</v>
      </c>
      <c r="H24">
        <v>26150</v>
      </c>
      <c r="I24">
        <v>27600</v>
      </c>
      <c r="J24">
        <v>28350</v>
      </c>
      <c r="K24">
        <v>30750</v>
      </c>
      <c r="M24" t="s">
        <v>100</v>
      </c>
    </row>
    <row r="25" spans="1:13" ht="12.75">
      <c r="A25">
        <v>11100</v>
      </c>
      <c r="B25">
        <v>13375</v>
      </c>
      <c r="C25">
        <v>14750</v>
      </c>
      <c r="D25">
        <v>16250</v>
      </c>
      <c r="E25">
        <v>18000</v>
      </c>
      <c r="F25">
        <v>19500</v>
      </c>
      <c r="G25">
        <v>20750</v>
      </c>
      <c r="H25">
        <v>26750</v>
      </c>
      <c r="I25">
        <v>28250</v>
      </c>
      <c r="J25">
        <v>29000</v>
      </c>
      <c r="K25">
        <v>31500</v>
      </c>
      <c r="M25" t="s">
        <v>97</v>
      </c>
    </row>
    <row r="26" spans="1:11" ht="12.75">
      <c r="A26">
        <v>11350</v>
      </c>
      <c r="B26">
        <v>13675</v>
      </c>
      <c r="C26">
        <v>15100</v>
      </c>
      <c r="D26">
        <v>16600</v>
      </c>
      <c r="E26">
        <v>18400</v>
      </c>
      <c r="F26">
        <v>19900</v>
      </c>
      <c r="G26">
        <v>21200</v>
      </c>
      <c r="H26">
        <v>27350</v>
      </c>
      <c r="I26">
        <v>28900</v>
      </c>
      <c r="J26">
        <v>29650</v>
      </c>
      <c r="K26">
        <v>32250</v>
      </c>
    </row>
    <row r="27" spans="1:11" ht="12.75">
      <c r="A27">
        <v>11600</v>
      </c>
      <c r="B27">
        <v>13975</v>
      </c>
      <c r="C27">
        <v>15450</v>
      </c>
      <c r="D27">
        <v>16950</v>
      </c>
      <c r="E27">
        <v>18800</v>
      </c>
      <c r="F27">
        <v>20300</v>
      </c>
      <c r="G27">
        <v>21650</v>
      </c>
      <c r="H27">
        <v>27950</v>
      </c>
      <c r="I27">
        <v>29550</v>
      </c>
      <c r="J27">
        <v>30300</v>
      </c>
      <c r="K27">
        <v>33000</v>
      </c>
    </row>
    <row r="28" spans="1:11" ht="12.75">
      <c r="A28">
        <v>11850</v>
      </c>
      <c r="B28">
        <v>14275</v>
      </c>
      <c r="C28">
        <v>15800</v>
      </c>
      <c r="D28">
        <v>17300</v>
      </c>
      <c r="E28">
        <v>19200</v>
      </c>
      <c r="F28">
        <v>20700</v>
      </c>
      <c r="G28">
        <v>22100</v>
      </c>
      <c r="H28">
        <v>28550</v>
      </c>
      <c r="I28">
        <v>30200</v>
      </c>
      <c r="J28">
        <v>30950</v>
      </c>
      <c r="K28">
        <v>33750</v>
      </c>
    </row>
    <row r="29" spans="1:10" ht="12.75">
      <c r="A29">
        <v>12100</v>
      </c>
      <c r="B29">
        <v>14575</v>
      </c>
      <c r="C29">
        <v>16150</v>
      </c>
      <c r="D29">
        <v>17650</v>
      </c>
      <c r="E29">
        <v>19600</v>
      </c>
      <c r="F29">
        <v>21100</v>
      </c>
      <c r="G29">
        <v>22550</v>
      </c>
      <c r="H29">
        <v>29150</v>
      </c>
      <c r="I29">
        <v>30850</v>
      </c>
      <c r="J29">
        <v>31600</v>
      </c>
    </row>
    <row r="30" spans="1:10" ht="12.75">
      <c r="A30">
        <v>12350</v>
      </c>
      <c r="B30">
        <v>14875</v>
      </c>
      <c r="C30">
        <v>16500</v>
      </c>
      <c r="D30">
        <v>18000</v>
      </c>
      <c r="E30">
        <v>20000</v>
      </c>
      <c r="F30">
        <v>21500</v>
      </c>
      <c r="G30">
        <v>23000</v>
      </c>
      <c r="H30">
        <v>29750</v>
      </c>
      <c r="I30">
        <v>31500</v>
      </c>
      <c r="J30">
        <v>32250</v>
      </c>
    </row>
    <row r="31" spans="1:10" ht="12.75">
      <c r="A31">
        <v>12600</v>
      </c>
      <c r="B31">
        <v>15175</v>
      </c>
      <c r="C31">
        <v>16850</v>
      </c>
      <c r="D31">
        <v>18350</v>
      </c>
      <c r="E31">
        <v>20400</v>
      </c>
      <c r="F31">
        <v>21900</v>
      </c>
      <c r="G31">
        <v>23450</v>
      </c>
      <c r="H31">
        <v>30350</v>
      </c>
      <c r="I31">
        <v>32150</v>
      </c>
      <c r="J31">
        <v>32900</v>
      </c>
    </row>
    <row r="32" spans="1:7" ht="12.75">
      <c r="A32">
        <v>12850</v>
      </c>
      <c r="B32">
        <v>15475</v>
      </c>
      <c r="C32">
        <v>17200</v>
      </c>
      <c r="D32">
        <v>18700</v>
      </c>
      <c r="E32">
        <v>20800</v>
      </c>
      <c r="F32">
        <v>22300</v>
      </c>
      <c r="G32">
        <v>23900</v>
      </c>
    </row>
    <row r="33" spans="1:7" ht="12.75">
      <c r="A33">
        <v>13100</v>
      </c>
      <c r="B33">
        <v>15775</v>
      </c>
      <c r="C33">
        <v>17550</v>
      </c>
      <c r="D33">
        <v>19050</v>
      </c>
      <c r="E33">
        <v>21200</v>
      </c>
      <c r="F33">
        <v>22700</v>
      </c>
      <c r="G33">
        <v>24350</v>
      </c>
    </row>
    <row r="34" spans="1:7" ht="12.75">
      <c r="A34">
        <v>13350</v>
      </c>
      <c r="B34">
        <v>16075</v>
      </c>
      <c r="C34">
        <v>17900</v>
      </c>
      <c r="D34">
        <v>19400</v>
      </c>
      <c r="E34">
        <v>21600</v>
      </c>
      <c r="F34">
        <v>23100</v>
      </c>
      <c r="G34">
        <v>24800</v>
      </c>
    </row>
    <row r="35" spans="1:7" ht="12.75">
      <c r="A35">
        <v>13600</v>
      </c>
      <c r="B35">
        <v>16375</v>
      </c>
      <c r="C35">
        <v>18250</v>
      </c>
      <c r="D35">
        <v>19750</v>
      </c>
      <c r="E35">
        <v>22000</v>
      </c>
      <c r="F35">
        <v>23500</v>
      </c>
      <c r="G35">
        <v>25250</v>
      </c>
    </row>
    <row r="36" spans="1:3" ht="12.75">
      <c r="A36">
        <v>13850</v>
      </c>
      <c r="B36">
        <v>16675</v>
      </c>
      <c r="C36">
        <v>18600</v>
      </c>
    </row>
    <row r="37" spans="1:3" ht="12.75">
      <c r="A37">
        <v>14100</v>
      </c>
      <c r="B37">
        <v>16975</v>
      </c>
      <c r="C37">
        <v>18950</v>
      </c>
    </row>
    <row r="38" spans="1:3" ht="12.75">
      <c r="A38">
        <v>14350</v>
      </c>
      <c r="B38">
        <v>17275</v>
      </c>
      <c r="C38">
        <v>19300</v>
      </c>
    </row>
    <row r="39" spans="1:2" ht="12.75">
      <c r="A39">
        <v>14600</v>
      </c>
      <c r="B39">
        <v>17575</v>
      </c>
    </row>
    <row r="40" spans="1:2" ht="12.75">
      <c r="A40">
        <v>14850</v>
      </c>
      <c r="B40">
        <v>17875</v>
      </c>
    </row>
    <row r="41" spans="1:2" ht="12.75">
      <c r="A41">
        <v>15100</v>
      </c>
      <c r="B41">
        <v>18175</v>
      </c>
    </row>
    <row r="42" ht="12.75">
      <c r="A42">
        <v>15350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MadHouse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mkm</dc:creator>
  <cp:keywords/>
  <dc:description/>
  <cp:lastModifiedBy>MKM</cp:lastModifiedBy>
  <cp:lastPrinted>2013-06-14T06:46:31Z</cp:lastPrinted>
  <dcterms:created xsi:type="dcterms:W3CDTF">2007-02-18T14:46:51Z</dcterms:created>
  <dcterms:modified xsi:type="dcterms:W3CDTF">2016-08-30T02:25:28Z</dcterms:modified>
  <cp:category/>
  <cp:version/>
  <cp:contentType/>
  <cp:contentStatus/>
</cp:coreProperties>
</file>